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tabRatio="895"/>
  </bookViews>
  <sheets>
    <sheet name="INVERSION TOTAL" sheetId="1" r:id="rId1"/>
    <sheet name="FINANCIAMIENTO" sheetId="2" r:id="rId2"/>
    <sheet name="AMORTIZACION DE CREDITO" sheetId="9" r:id="rId3"/>
    <sheet name="INGRESO POR VENTAS" sheetId="3" r:id="rId4"/>
    <sheet name="PLANILLA DE EMPLEADOS" sheetId="4" r:id="rId5"/>
    <sheet name="GASTOS INDIRECTOS" sheetId="6" r:id="rId6"/>
    <sheet name="DEPRECIACION" sheetId="7" r:id="rId7"/>
    <sheet name="PRESUPUESTO DE GASTOS" sheetId="5" r:id="rId8"/>
    <sheet name="ESTADO DE GANACIAS Y PERDIDAS" sheetId="8" r:id="rId9"/>
    <sheet name="BALANCE GENERAL" sheetId="17" r:id="rId10"/>
    <sheet name="FLUJO DE CAJA ECON FINANCI" sheetId="10" r:id="rId11"/>
    <sheet name="COSTO BENEFICIO" sheetId="11" r:id="rId12"/>
    <sheet name="INSUMOS DE PREPARACION" sheetId="22" r:id="rId13"/>
    <sheet name="PUNTO DE EQUILIBRIO" sheetId="12" r:id="rId14"/>
    <sheet name="PRINCIPALES RATIOS" sheetId="18" r:id="rId15"/>
    <sheet name="CUADROS DE RATIOS" sheetId="19" r:id="rId16"/>
    <sheet name="LOCALIZACION" sheetId="26" r:id="rId17"/>
  </sheets>
  <calcPr calcId="145621"/>
</workbook>
</file>

<file path=xl/calcChain.xml><?xml version="1.0" encoding="utf-8"?>
<calcChain xmlns="http://schemas.openxmlformats.org/spreadsheetml/2006/main">
  <c r="E53" i="1" l="1"/>
  <c r="D4" i="5" l="1"/>
  <c r="E4" i="5"/>
  <c r="F4" i="5"/>
  <c r="E36" i="1" l="1"/>
  <c r="E37" i="1"/>
  <c r="E38" i="1"/>
  <c r="E39" i="1"/>
  <c r="E40" i="1"/>
  <c r="E41" i="1"/>
  <c r="E42" i="1"/>
  <c r="E43" i="1"/>
  <c r="E44" i="1"/>
  <c r="E45" i="1"/>
  <c r="E46" i="1"/>
  <c r="E47" i="1"/>
  <c r="E48" i="1"/>
  <c r="E19" i="1"/>
  <c r="E20" i="1"/>
  <c r="E21" i="1"/>
  <c r="E22" i="1"/>
  <c r="E23" i="1"/>
  <c r="E24" i="1"/>
  <c r="E25" i="1"/>
  <c r="E26" i="1"/>
  <c r="E27" i="1"/>
  <c r="E28" i="1"/>
  <c r="E29" i="1"/>
  <c r="E18" i="1"/>
  <c r="E31" i="1"/>
  <c r="E32" i="1"/>
  <c r="E30" i="1"/>
  <c r="E8" i="1"/>
  <c r="E9" i="1"/>
  <c r="E10" i="1"/>
  <c r="E11" i="1"/>
  <c r="E12" i="1"/>
  <c r="E13" i="1"/>
  <c r="E14" i="1"/>
  <c r="E15" i="1"/>
  <c r="E16" i="1"/>
  <c r="E17" i="1"/>
  <c r="E7" i="1"/>
  <c r="E33" i="1"/>
  <c r="E49" i="1"/>
  <c r="B7" i="2"/>
  <c r="B6" i="2"/>
  <c r="E7" i="6"/>
  <c r="E8" i="6"/>
  <c r="E9" i="6"/>
  <c r="E10" i="6"/>
  <c r="E5" i="6"/>
  <c r="E54" i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6" i="5"/>
  <c r="E55" i="1"/>
  <c r="E56" i="1" s="1"/>
  <c r="J5" i="4"/>
  <c r="K5" i="4"/>
  <c r="J6" i="4"/>
  <c r="K6" i="4"/>
  <c r="J7" i="4"/>
  <c r="K7" i="4"/>
  <c r="K8" i="4"/>
  <c r="J15" i="4"/>
  <c r="K15" i="4"/>
  <c r="K16" i="4"/>
  <c r="J21" i="4"/>
  <c r="E12" i="6"/>
  <c r="E13" i="6"/>
  <c r="E11" i="6"/>
  <c r="E14" i="6"/>
  <c r="B5" i="12"/>
  <c r="B6" i="12"/>
  <c r="B7" i="12"/>
  <c r="B8" i="12"/>
  <c r="B9" i="12"/>
  <c r="B10" i="12"/>
  <c r="B11" i="12"/>
  <c r="B12" i="12"/>
  <c r="B13" i="12"/>
  <c r="B14" i="12"/>
  <c r="B15" i="12"/>
  <c r="B16" i="12"/>
  <c r="C5" i="12"/>
  <c r="D5" i="12"/>
  <c r="D6" i="22"/>
  <c r="B15" i="3"/>
  <c r="H19" i="22"/>
  <c r="H21" i="22"/>
  <c r="C6" i="12"/>
  <c r="D6" i="12"/>
  <c r="D18" i="22"/>
  <c r="C7" i="12"/>
  <c r="D7" i="12"/>
  <c r="D30" i="22"/>
  <c r="C8" i="12"/>
  <c r="D8" i="12"/>
  <c r="D42" i="22"/>
  <c r="C9" i="12"/>
  <c r="D9" i="12"/>
  <c r="D50" i="22"/>
  <c r="C10" i="12"/>
  <c r="D10" i="12"/>
  <c r="I6" i="22"/>
  <c r="C11" i="12"/>
  <c r="D11" i="12"/>
  <c r="D63" i="22"/>
  <c r="C12" i="12"/>
  <c r="D12" i="12"/>
  <c r="D75" i="22"/>
  <c r="C13" i="12"/>
  <c r="D13" i="12"/>
  <c r="D87" i="22"/>
  <c r="C14" i="12"/>
  <c r="D14" i="12"/>
  <c r="D95" i="22"/>
  <c r="C15" i="12"/>
  <c r="D15" i="12"/>
  <c r="D100" i="22"/>
  <c r="E6" i="4"/>
  <c r="F6" i="4"/>
  <c r="G6" i="4"/>
  <c r="H6" i="4"/>
  <c r="I6" i="4"/>
  <c r="G5" i="4"/>
  <c r="F5" i="4"/>
  <c r="E5" i="4"/>
  <c r="E6" i="6"/>
  <c r="B27" i="5"/>
  <c r="C27" i="5"/>
  <c r="B28" i="5"/>
  <c r="C28" i="5"/>
  <c r="B29" i="5"/>
  <c r="C29" i="5"/>
  <c r="B30" i="5"/>
  <c r="C30" i="5"/>
  <c r="B31" i="5"/>
  <c r="C31" i="5"/>
  <c r="C26" i="5"/>
  <c r="D27" i="5"/>
  <c r="D28" i="5"/>
  <c r="D29" i="5"/>
  <c r="D30" i="5"/>
  <c r="D31" i="5"/>
  <c r="D26" i="5"/>
  <c r="E27" i="5"/>
  <c r="E28" i="5"/>
  <c r="E29" i="5"/>
  <c r="E30" i="5"/>
  <c r="E31" i="5"/>
  <c r="E26" i="5"/>
  <c r="F27" i="5"/>
  <c r="F28" i="5"/>
  <c r="F29" i="5"/>
  <c r="F30" i="5"/>
  <c r="F31" i="5"/>
  <c r="F26" i="5"/>
  <c r="G27" i="5"/>
  <c r="G28" i="5"/>
  <c r="G29" i="5"/>
  <c r="G30" i="5"/>
  <c r="G31" i="5"/>
  <c r="G26" i="5"/>
  <c r="H27" i="5"/>
  <c r="H28" i="5"/>
  <c r="H29" i="5"/>
  <c r="H30" i="5"/>
  <c r="H31" i="5"/>
  <c r="H26" i="5"/>
  <c r="I27" i="5"/>
  <c r="I28" i="5"/>
  <c r="I29" i="5"/>
  <c r="I30" i="5"/>
  <c r="I31" i="5"/>
  <c r="I26" i="5"/>
  <c r="J27" i="5"/>
  <c r="J28" i="5"/>
  <c r="J29" i="5"/>
  <c r="J30" i="5"/>
  <c r="J31" i="5"/>
  <c r="J26" i="5"/>
  <c r="K27" i="5"/>
  <c r="K28" i="5"/>
  <c r="K29" i="5"/>
  <c r="K30" i="5"/>
  <c r="K31" i="5"/>
  <c r="K26" i="5"/>
  <c r="L27" i="5"/>
  <c r="L28" i="5"/>
  <c r="L29" i="5"/>
  <c r="L30" i="5"/>
  <c r="L31" i="5"/>
  <c r="L26" i="5"/>
  <c r="M27" i="5"/>
  <c r="M28" i="5"/>
  <c r="M29" i="5"/>
  <c r="M30" i="5"/>
  <c r="M31" i="5"/>
  <c r="M26" i="5"/>
  <c r="N27" i="5"/>
  <c r="N28" i="5"/>
  <c r="N29" i="5"/>
  <c r="N30" i="5"/>
  <c r="N31" i="5"/>
  <c r="N26" i="5"/>
  <c r="O27" i="5"/>
  <c r="O28" i="5"/>
  <c r="O29" i="5"/>
  <c r="O30" i="5"/>
  <c r="O31" i="5"/>
  <c r="O26" i="5"/>
  <c r="P27" i="5"/>
  <c r="P28" i="5"/>
  <c r="P29" i="5"/>
  <c r="P30" i="5"/>
  <c r="P31" i="5"/>
  <c r="P26" i="5"/>
  <c r="Q27" i="5"/>
  <c r="Q28" i="5"/>
  <c r="Q29" i="5"/>
  <c r="Q30" i="5"/>
  <c r="Q31" i="5"/>
  <c r="Q26" i="5"/>
  <c r="R27" i="5"/>
  <c r="R28" i="5"/>
  <c r="R29" i="5"/>
  <c r="R30" i="5"/>
  <c r="R31" i="5"/>
  <c r="R26" i="5"/>
  <c r="S27" i="5"/>
  <c r="S28" i="5"/>
  <c r="S29" i="5"/>
  <c r="S30" i="5"/>
  <c r="S31" i="5"/>
  <c r="S26" i="5"/>
  <c r="T27" i="5"/>
  <c r="T28" i="5"/>
  <c r="T29" i="5"/>
  <c r="T30" i="5"/>
  <c r="T31" i="5"/>
  <c r="T26" i="5"/>
  <c r="U27" i="5"/>
  <c r="U28" i="5"/>
  <c r="U29" i="5"/>
  <c r="U30" i="5"/>
  <c r="U31" i="5"/>
  <c r="U26" i="5"/>
  <c r="V27" i="5"/>
  <c r="V28" i="5"/>
  <c r="V29" i="5"/>
  <c r="V30" i="5"/>
  <c r="V31" i="5"/>
  <c r="V26" i="5"/>
  <c r="W27" i="5"/>
  <c r="W28" i="5"/>
  <c r="W29" i="5"/>
  <c r="W30" i="5"/>
  <c r="W31" i="5"/>
  <c r="W26" i="5"/>
  <c r="X27" i="5"/>
  <c r="X28" i="5"/>
  <c r="X29" i="5"/>
  <c r="X30" i="5"/>
  <c r="X31" i="5"/>
  <c r="X26" i="5"/>
  <c r="Y27" i="5"/>
  <c r="Y28" i="5"/>
  <c r="Y29" i="5"/>
  <c r="Y30" i="5"/>
  <c r="Y31" i="5"/>
  <c r="Y26" i="5"/>
  <c r="B26" i="5"/>
  <c r="A7" i="12"/>
  <c r="A8" i="12"/>
  <c r="A9" i="12"/>
  <c r="A10" i="12"/>
  <c r="A11" i="12"/>
  <c r="A12" i="12"/>
  <c r="A13" i="12"/>
  <c r="A14" i="12"/>
  <c r="A15" i="12"/>
  <c r="A6" i="12"/>
  <c r="A5" i="12"/>
  <c r="A28" i="5"/>
  <c r="A29" i="5"/>
  <c r="A30" i="5"/>
  <c r="A31" i="5"/>
  <c r="A27" i="5"/>
  <c r="A7" i="8"/>
  <c r="C14" i="3"/>
  <c r="C21" i="5"/>
  <c r="D14" i="3"/>
  <c r="D21" i="5"/>
  <c r="E14" i="3"/>
  <c r="E21" i="5"/>
  <c r="F14" i="3"/>
  <c r="F21" i="5"/>
  <c r="G14" i="3"/>
  <c r="G21" i="5"/>
  <c r="H14" i="3"/>
  <c r="H21" i="5"/>
  <c r="I14" i="3"/>
  <c r="I21" i="5"/>
  <c r="J14" i="3"/>
  <c r="J21" i="5"/>
  <c r="K14" i="3"/>
  <c r="K21" i="5"/>
  <c r="L14" i="3"/>
  <c r="L21" i="5"/>
  <c r="M14" i="3"/>
  <c r="M21" i="5"/>
  <c r="N14" i="3"/>
  <c r="N21" i="5"/>
  <c r="O14" i="3"/>
  <c r="O21" i="5"/>
  <c r="P14" i="3"/>
  <c r="P21" i="5"/>
  <c r="Q14" i="3"/>
  <c r="Q21" i="5"/>
  <c r="R14" i="3"/>
  <c r="R21" i="5"/>
  <c r="S14" i="3"/>
  <c r="S21" i="5"/>
  <c r="T14" i="3"/>
  <c r="T21" i="5"/>
  <c r="U14" i="3"/>
  <c r="U21" i="5"/>
  <c r="V14" i="3"/>
  <c r="V21" i="5"/>
  <c r="W14" i="3"/>
  <c r="W21" i="5"/>
  <c r="X14" i="3"/>
  <c r="X21" i="5"/>
  <c r="Y14" i="3"/>
  <c r="Y21" i="5"/>
  <c r="C13" i="3"/>
  <c r="C20" i="5"/>
  <c r="D13" i="3"/>
  <c r="D20" i="5"/>
  <c r="E13" i="3"/>
  <c r="E20" i="5"/>
  <c r="F13" i="3"/>
  <c r="F20" i="5"/>
  <c r="G13" i="3"/>
  <c r="G20" i="5"/>
  <c r="H13" i="3"/>
  <c r="H20" i="5"/>
  <c r="I13" i="3"/>
  <c r="I20" i="5"/>
  <c r="J13" i="3"/>
  <c r="J20" i="5"/>
  <c r="K13" i="3"/>
  <c r="K20" i="5"/>
  <c r="L13" i="3"/>
  <c r="L20" i="5"/>
  <c r="M13" i="3"/>
  <c r="M20" i="5"/>
  <c r="N13" i="3"/>
  <c r="N20" i="5"/>
  <c r="O13" i="3"/>
  <c r="O20" i="5"/>
  <c r="P13" i="3"/>
  <c r="P20" i="5"/>
  <c r="Q13" i="3"/>
  <c r="Q20" i="5"/>
  <c r="R13" i="3"/>
  <c r="R20" i="5"/>
  <c r="S13" i="3"/>
  <c r="S20" i="5"/>
  <c r="T13" i="3"/>
  <c r="T20" i="5"/>
  <c r="U13" i="3"/>
  <c r="U20" i="5"/>
  <c r="V13" i="3"/>
  <c r="V20" i="5"/>
  <c r="W13" i="3"/>
  <c r="W20" i="5"/>
  <c r="X13" i="3"/>
  <c r="X20" i="5"/>
  <c r="Y13" i="3"/>
  <c r="Y20" i="5"/>
  <c r="C11" i="3"/>
  <c r="C19" i="5"/>
  <c r="D11" i="3"/>
  <c r="D19" i="5"/>
  <c r="E11" i="3"/>
  <c r="E19" i="5"/>
  <c r="F11" i="3"/>
  <c r="F19" i="5"/>
  <c r="G11" i="3"/>
  <c r="G19" i="5"/>
  <c r="H11" i="3"/>
  <c r="H19" i="5"/>
  <c r="I11" i="3"/>
  <c r="I19" i="5"/>
  <c r="J11" i="3"/>
  <c r="J19" i="5"/>
  <c r="K11" i="3"/>
  <c r="K19" i="5"/>
  <c r="L11" i="3"/>
  <c r="L19" i="5"/>
  <c r="M11" i="3"/>
  <c r="M19" i="5"/>
  <c r="N11" i="3"/>
  <c r="N19" i="5"/>
  <c r="O11" i="3"/>
  <c r="O19" i="5"/>
  <c r="P11" i="3"/>
  <c r="P19" i="5"/>
  <c r="Q11" i="3"/>
  <c r="Q19" i="5"/>
  <c r="R11" i="3"/>
  <c r="R19" i="5"/>
  <c r="S11" i="3"/>
  <c r="S19" i="5"/>
  <c r="T11" i="3"/>
  <c r="T19" i="5"/>
  <c r="U11" i="3"/>
  <c r="U19" i="5"/>
  <c r="V11" i="3"/>
  <c r="V19" i="5"/>
  <c r="W11" i="3"/>
  <c r="W19" i="5"/>
  <c r="X11" i="3"/>
  <c r="X19" i="5"/>
  <c r="Y11" i="3"/>
  <c r="Y19" i="5"/>
  <c r="C10" i="3"/>
  <c r="C18" i="5"/>
  <c r="D10" i="3"/>
  <c r="D18" i="5"/>
  <c r="E10" i="3"/>
  <c r="E18" i="5"/>
  <c r="F10" i="3"/>
  <c r="F18" i="5"/>
  <c r="G10" i="3"/>
  <c r="G18" i="5"/>
  <c r="H10" i="3"/>
  <c r="H18" i="5"/>
  <c r="I10" i="3"/>
  <c r="I18" i="5"/>
  <c r="J10" i="3"/>
  <c r="J18" i="5"/>
  <c r="K10" i="3"/>
  <c r="K18" i="5"/>
  <c r="L10" i="3"/>
  <c r="L18" i="5"/>
  <c r="M10" i="3"/>
  <c r="M18" i="5"/>
  <c r="N10" i="3"/>
  <c r="N18" i="5"/>
  <c r="O10" i="3"/>
  <c r="O18" i="5"/>
  <c r="P10" i="3"/>
  <c r="P18" i="5"/>
  <c r="Q10" i="3"/>
  <c r="Q18" i="5"/>
  <c r="R10" i="3"/>
  <c r="R18" i="5"/>
  <c r="S10" i="3"/>
  <c r="S18" i="5"/>
  <c r="T10" i="3"/>
  <c r="T18" i="5"/>
  <c r="U10" i="3"/>
  <c r="U18" i="5"/>
  <c r="V10" i="3"/>
  <c r="V18" i="5"/>
  <c r="W10" i="3"/>
  <c r="W18" i="5"/>
  <c r="X10" i="3"/>
  <c r="X18" i="5"/>
  <c r="Y10" i="3"/>
  <c r="Y18" i="5"/>
  <c r="C8" i="3"/>
  <c r="C17" i="5"/>
  <c r="D8" i="3"/>
  <c r="D17" i="5"/>
  <c r="E8" i="3"/>
  <c r="E17" i="5"/>
  <c r="F8" i="3"/>
  <c r="F17" i="5"/>
  <c r="G8" i="3"/>
  <c r="G17" i="5"/>
  <c r="H8" i="3"/>
  <c r="H17" i="5"/>
  <c r="I8" i="3"/>
  <c r="I17" i="5"/>
  <c r="J8" i="3"/>
  <c r="J17" i="5"/>
  <c r="K8" i="3"/>
  <c r="K17" i="5"/>
  <c r="L8" i="3"/>
  <c r="L17" i="5"/>
  <c r="M8" i="3"/>
  <c r="M17" i="5"/>
  <c r="N8" i="3"/>
  <c r="N17" i="5"/>
  <c r="O8" i="3"/>
  <c r="O17" i="5"/>
  <c r="P8" i="3"/>
  <c r="P17" i="5"/>
  <c r="Q8" i="3"/>
  <c r="Q17" i="5"/>
  <c r="R8" i="3"/>
  <c r="R17" i="5"/>
  <c r="S8" i="3"/>
  <c r="S17" i="5"/>
  <c r="T8" i="3"/>
  <c r="T17" i="5"/>
  <c r="U8" i="3"/>
  <c r="U17" i="5"/>
  <c r="V8" i="3"/>
  <c r="V17" i="5"/>
  <c r="W8" i="3"/>
  <c r="W17" i="5"/>
  <c r="X8" i="3"/>
  <c r="X17" i="5"/>
  <c r="Y8" i="3"/>
  <c r="Y17" i="5"/>
  <c r="C6" i="3"/>
  <c r="C16" i="5"/>
  <c r="D6" i="3"/>
  <c r="D16" i="5"/>
  <c r="E6" i="3"/>
  <c r="E16" i="5"/>
  <c r="F6" i="3"/>
  <c r="F16" i="5"/>
  <c r="G6" i="3"/>
  <c r="G16" i="5"/>
  <c r="H6" i="3"/>
  <c r="H16" i="5"/>
  <c r="I6" i="3"/>
  <c r="I16" i="5"/>
  <c r="J6" i="3"/>
  <c r="J16" i="5"/>
  <c r="K6" i="3"/>
  <c r="K16" i="5"/>
  <c r="L6" i="3"/>
  <c r="L16" i="5"/>
  <c r="M6" i="3"/>
  <c r="M16" i="5"/>
  <c r="N6" i="3"/>
  <c r="N16" i="5"/>
  <c r="O6" i="3"/>
  <c r="O16" i="5"/>
  <c r="P6" i="3"/>
  <c r="P16" i="5"/>
  <c r="Q6" i="3"/>
  <c r="Q16" i="5"/>
  <c r="R6" i="3"/>
  <c r="R16" i="5"/>
  <c r="S6" i="3"/>
  <c r="S16" i="5"/>
  <c r="T6" i="3"/>
  <c r="T16" i="5"/>
  <c r="U6" i="3"/>
  <c r="U16" i="5"/>
  <c r="V6" i="3"/>
  <c r="V16" i="5"/>
  <c r="W6" i="3"/>
  <c r="W16" i="5"/>
  <c r="X6" i="3"/>
  <c r="X16" i="5"/>
  <c r="Y6" i="3"/>
  <c r="Y16" i="5"/>
  <c r="C5" i="3"/>
  <c r="C15" i="5"/>
  <c r="D5" i="3"/>
  <c r="D15" i="5"/>
  <c r="E5" i="3"/>
  <c r="E15" i="5"/>
  <c r="F5" i="3"/>
  <c r="F15" i="5"/>
  <c r="G5" i="3"/>
  <c r="G15" i="5"/>
  <c r="H5" i="3"/>
  <c r="H15" i="5"/>
  <c r="I5" i="3"/>
  <c r="I15" i="5"/>
  <c r="J5" i="3"/>
  <c r="J15" i="5"/>
  <c r="K5" i="3"/>
  <c r="K15" i="5"/>
  <c r="L5" i="3"/>
  <c r="L15" i="5"/>
  <c r="M5" i="3"/>
  <c r="M15" i="5"/>
  <c r="N5" i="3"/>
  <c r="N15" i="5"/>
  <c r="O5" i="3"/>
  <c r="O15" i="5"/>
  <c r="P5" i="3"/>
  <c r="P15" i="5"/>
  <c r="Q5" i="3"/>
  <c r="Q15" i="5"/>
  <c r="R5" i="3"/>
  <c r="R15" i="5"/>
  <c r="S5" i="3"/>
  <c r="S15" i="5"/>
  <c r="T5" i="3"/>
  <c r="T15" i="5"/>
  <c r="U5" i="3"/>
  <c r="U15" i="5"/>
  <c r="V5" i="3"/>
  <c r="V15" i="5"/>
  <c r="W5" i="3"/>
  <c r="W15" i="5"/>
  <c r="X5" i="3"/>
  <c r="X15" i="5"/>
  <c r="Y5" i="3"/>
  <c r="Y15" i="5"/>
  <c r="C9" i="3"/>
  <c r="C12" i="3"/>
  <c r="C14" i="5"/>
  <c r="D9" i="3"/>
  <c r="D12" i="3"/>
  <c r="D14" i="5"/>
  <c r="E9" i="3"/>
  <c r="E12" i="3"/>
  <c r="E14" i="5"/>
  <c r="F9" i="3"/>
  <c r="F12" i="3"/>
  <c r="F14" i="5"/>
  <c r="G9" i="3"/>
  <c r="G12" i="3"/>
  <c r="G14" i="5"/>
  <c r="H9" i="3"/>
  <c r="H12" i="3"/>
  <c r="H14" i="5"/>
  <c r="I9" i="3"/>
  <c r="I12" i="3"/>
  <c r="I14" i="5"/>
  <c r="J9" i="3"/>
  <c r="J12" i="3"/>
  <c r="J14" i="5"/>
  <c r="K9" i="3"/>
  <c r="K12" i="3"/>
  <c r="K14" i="5"/>
  <c r="L9" i="3"/>
  <c r="L12" i="3"/>
  <c r="L14" i="5"/>
  <c r="M9" i="3"/>
  <c r="M12" i="3"/>
  <c r="M14" i="5"/>
  <c r="N9" i="3"/>
  <c r="N12" i="3"/>
  <c r="N14" i="5"/>
  <c r="O9" i="3"/>
  <c r="O12" i="3"/>
  <c r="O14" i="5"/>
  <c r="P9" i="3"/>
  <c r="P12" i="3"/>
  <c r="P14" i="5"/>
  <c r="Q9" i="3"/>
  <c r="Q12" i="3"/>
  <c r="Q14" i="5"/>
  <c r="R9" i="3"/>
  <c r="R12" i="3"/>
  <c r="R14" i="5"/>
  <c r="S9" i="3"/>
  <c r="S12" i="3"/>
  <c r="S14" i="5"/>
  <c r="T9" i="3"/>
  <c r="T12" i="3"/>
  <c r="T14" i="5"/>
  <c r="U9" i="3"/>
  <c r="U12" i="3"/>
  <c r="U14" i="5"/>
  <c r="V9" i="3"/>
  <c r="V12" i="3"/>
  <c r="V14" i="5"/>
  <c r="W9" i="3"/>
  <c r="W12" i="3"/>
  <c r="W14" i="5"/>
  <c r="X9" i="3"/>
  <c r="X12" i="3"/>
  <c r="X14" i="5"/>
  <c r="Y9" i="3"/>
  <c r="Y12" i="3"/>
  <c r="Y14" i="5"/>
  <c r="C4" i="3"/>
  <c r="C7" i="3"/>
  <c r="C13" i="5"/>
  <c r="D4" i="3"/>
  <c r="D7" i="3"/>
  <c r="D13" i="5"/>
  <c r="E4" i="3"/>
  <c r="E7" i="3"/>
  <c r="E13" i="5"/>
  <c r="F4" i="3"/>
  <c r="F7" i="3"/>
  <c r="F13" i="5"/>
  <c r="G4" i="3"/>
  <c r="G7" i="3"/>
  <c r="G13" i="5"/>
  <c r="H4" i="3"/>
  <c r="H7" i="3"/>
  <c r="H13" i="5"/>
  <c r="I4" i="3"/>
  <c r="I7" i="3"/>
  <c r="I13" i="5"/>
  <c r="J4" i="3"/>
  <c r="J7" i="3"/>
  <c r="J13" i="5"/>
  <c r="K4" i="3"/>
  <c r="K7" i="3"/>
  <c r="K13" i="5"/>
  <c r="L4" i="3"/>
  <c r="L7" i="3"/>
  <c r="L13" i="5"/>
  <c r="M4" i="3"/>
  <c r="M7" i="3"/>
  <c r="M13" i="5"/>
  <c r="N4" i="3"/>
  <c r="N7" i="3"/>
  <c r="N13" i="5"/>
  <c r="O4" i="3"/>
  <c r="O7" i="3"/>
  <c r="O13" i="5"/>
  <c r="P4" i="3"/>
  <c r="P7" i="3"/>
  <c r="P13" i="5"/>
  <c r="Q4" i="3"/>
  <c r="Q7" i="3"/>
  <c r="Q13" i="5"/>
  <c r="R4" i="3"/>
  <c r="R7" i="3"/>
  <c r="R13" i="5"/>
  <c r="S4" i="3"/>
  <c r="S7" i="3"/>
  <c r="S13" i="5"/>
  <c r="T4" i="3"/>
  <c r="T7" i="3"/>
  <c r="T13" i="5"/>
  <c r="U4" i="3"/>
  <c r="U7" i="3"/>
  <c r="U13" i="5"/>
  <c r="V4" i="3"/>
  <c r="V7" i="3"/>
  <c r="V13" i="5"/>
  <c r="W4" i="3"/>
  <c r="W7" i="3"/>
  <c r="W13" i="5"/>
  <c r="X4" i="3"/>
  <c r="X7" i="3"/>
  <c r="X13" i="5"/>
  <c r="Y4" i="3"/>
  <c r="Y7" i="3"/>
  <c r="Y13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P7" i="5"/>
  <c r="P8" i="5"/>
  <c r="P6" i="5"/>
  <c r="P7" i="8"/>
  <c r="Q9" i="5"/>
  <c r="R9" i="5"/>
  <c r="S9" i="5"/>
  <c r="T9" i="5"/>
  <c r="U9" i="5"/>
  <c r="V9" i="5"/>
  <c r="W9" i="5"/>
  <c r="X9" i="5"/>
  <c r="X7" i="5"/>
  <c r="X8" i="5"/>
  <c r="X6" i="5"/>
  <c r="X7" i="8"/>
  <c r="Y9" i="5"/>
  <c r="C8" i="5"/>
  <c r="D8" i="5"/>
  <c r="E8" i="5"/>
  <c r="F8" i="5"/>
  <c r="G8" i="5"/>
  <c r="G7" i="5"/>
  <c r="G6" i="5"/>
  <c r="G7" i="8"/>
  <c r="H8" i="5"/>
  <c r="I8" i="5"/>
  <c r="J8" i="5"/>
  <c r="K8" i="5"/>
  <c r="L8" i="5"/>
  <c r="M8" i="5"/>
  <c r="N8" i="5"/>
  <c r="O8" i="5"/>
  <c r="Q8" i="5"/>
  <c r="R8" i="5"/>
  <c r="S8" i="5"/>
  <c r="T8" i="5"/>
  <c r="U8" i="5"/>
  <c r="V8" i="5"/>
  <c r="W8" i="5"/>
  <c r="Y8" i="5"/>
  <c r="D7" i="5"/>
  <c r="D6" i="5"/>
  <c r="D7" i="8" s="1"/>
  <c r="D5" i="8" s="1"/>
  <c r="D9" i="8" s="1"/>
  <c r="D12" i="8" s="1"/>
  <c r="E7" i="5"/>
  <c r="E6" i="5"/>
  <c r="E7" i="8" s="1"/>
  <c r="E5" i="8" s="1"/>
  <c r="F7" i="5"/>
  <c r="F6" i="5"/>
  <c r="F7" i="8"/>
  <c r="H7" i="5"/>
  <c r="H6" i="5"/>
  <c r="H7" i="8"/>
  <c r="I7" i="5"/>
  <c r="J7" i="5"/>
  <c r="K7" i="5"/>
  <c r="L7" i="5"/>
  <c r="L6" i="5"/>
  <c r="M7" i="5"/>
  <c r="M6" i="5"/>
  <c r="N7" i="5"/>
  <c r="N6" i="5"/>
  <c r="N7" i="8"/>
  <c r="O7" i="5"/>
  <c r="O6" i="5"/>
  <c r="O7" i="8"/>
  <c r="Q7" i="5"/>
  <c r="Q6" i="5"/>
  <c r="Q7" i="8"/>
  <c r="R7" i="5"/>
  <c r="S7" i="5"/>
  <c r="T7" i="5"/>
  <c r="U7" i="5"/>
  <c r="U6" i="5"/>
  <c r="U7" i="8"/>
  <c r="V7" i="5"/>
  <c r="V6" i="5"/>
  <c r="V7" i="8"/>
  <c r="W7" i="5"/>
  <c r="W6" i="5"/>
  <c r="W7" i="8"/>
  <c r="Y7" i="5"/>
  <c r="C7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D18" i="7"/>
  <c r="A18" i="7"/>
  <c r="E18" i="7"/>
  <c r="H18" i="7"/>
  <c r="D17" i="7"/>
  <c r="D19" i="7"/>
  <c r="D20" i="7"/>
  <c r="D21" i="7"/>
  <c r="D22" i="7"/>
  <c r="D23" i="7"/>
  <c r="D24" i="7"/>
  <c r="A24" i="7"/>
  <c r="E24" i="7"/>
  <c r="H24" i="7"/>
  <c r="D25" i="7"/>
  <c r="D26" i="7"/>
  <c r="A17" i="7"/>
  <c r="A19" i="7"/>
  <c r="A20" i="7"/>
  <c r="A21" i="7"/>
  <c r="A22" i="7"/>
  <c r="A23" i="7"/>
  <c r="A25" i="7"/>
  <c r="A26" i="7"/>
  <c r="C17" i="7"/>
  <c r="C18" i="7"/>
  <c r="C19" i="7"/>
  <c r="C20" i="7"/>
  <c r="C21" i="7"/>
  <c r="C22" i="7"/>
  <c r="C23" i="7"/>
  <c r="C24" i="7"/>
  <c r="C25" i="7"/>
  <c r="C26" i="7"/>
  <c r="D16" i="7"/>
  <c r="A16" i="7"/>
  <c r="E16" i="7"/>
  <c r="H16" i="7"/>
  <c r="C16" i="7"/>
  <c r="D10" i="7"/>
  <c r="D11" i="7"/>
  <c r="D12" i="7"/>
  <c r="D13" i="7"/>
  <c r="D14" i="7"/>
  <c r="A10" i="7"/>
  <c r="A11" i="7"/>
  <c r="A12" i="7"/>
  <c r="A13" i="7"/>
  <c r="A14" i="7"/>
  <c r="C10" i="7"/>
  <c r="C11" i="7"/>
  <c r="C12" i="7"/>
  <c r="C13" i="7"/>
  <c r="C14" i="7"/>
  <c r="D20" i="3"/>
  <c r="D21" i="3"/>
  <c r="D22" i="3"/>
  <c r="D23" i="3"/>
  <c r="D24" i="3"/>
  <c r="D25" i="3"/>
  <c r="D26" i="3"/>
  <c r="D27" i="3"/>
  <c r="D28" i="3"/>
  <c r="D29" i="3"/>
  <c r="D30" i="3"/>
  <c r="D31" i="3"/>
  <c r="E20" i="3"/>
  <c r="E21" i="3"/>
  <c r="E22" i="3"/>
  <c r="E23" i="3"/>
  <c r="E24" i="3"/>
  <c r="E25" i="3"/>
  <c r="E26" i="3"/>
  <c r="E27" i="3"/>
  <c r="E28" i="3"/>
  <c r="E29" i="3"/>
  <c r="E30" i="3"/>
  <c r="E31" i="3"/>
  <c r="F20" i="3"/>
  <c r="F21" i="3"/>
  <c r="F22" i="3"/>
  <c r="F23" i="3"/>
  <c r="F24" i="3"/>
  <c r="F25" i="3"/>
  <c r="F26" i="3"/>
  <c r="F27" i="3"/>
  <c r="F28" i="3"/>
  <c r="F29" i="3"/>
  <c r="F30" i="3"/>
  <c r="F31" i="3"/>
  <c r="G20" i="3"/>
  <c r="G21" i="3"/>
  <c r="G22" i="3"/>
  <c r="G23" i="3"/>
  <c r="G24" i="3"/>
  <c r="G25" i="3"/>
  <c r="G26" i="3"/>
  <c r="G27" i="3"/>
  <c r="G28" i="3"/>
  <c r="G29" i="3"/>
  <c r="G30" i="3"/>
  <c r="G31" i="3"/>
  <c r="H20" i="3"/>
  <c r="H21" i="3"/>
  <c r="H22" i="3"/>
  <c r="H23" i="3"/>
  <c r="H24" i="3"/>
  <c r="H25" i="3"/>
  <c r="H26" i="3"/>
  <c r="H27" i="3"/>
  <c r="H28" i="3"/>
  <c r="H29" i="3"/>
  <c r="H30" i="3"/>
  <c r="H31" i="3"/>
  <c r="I20" i="3"/>
  <c r="I21" i="3"/>
  <c r="I22" i="3"/>
  <c r="I23" i="3"/>
  <c r="I24" i="3"/>
  <c r="I25" i="3"/>
  <c r="I26" i="3"/>
  <c r="I27" i="3"/>
  <c r="I28" i="3"/>
  <c r="I29" i="3"/>
  <c r="I30" i="3"/>
  <c r="I31" i="3"/>
  <c r="J20" i="3"/>
  <c r="J21" i="3"/>
  <c r="J22" i="3"/>
  <c r="J23" i="3"/>
  <c r="J24" i="3"/>
  <c r="J25" i="3"/>
  <c r="J26" i="3"/>
  <c r="J27" i="3"/>
  <c r="J28" i="3"/>
  <c r="J29" i="3"/>
  <c r="J30" i="3"/>
  <c r="J31" i="3"/>
  <c r="K20" i="3"/>
  <c r="K21" i="3"/>
  <c r="K22" i="3"/>
  <c r="K23" i="3"/>
  <c r="K24" i="3"/>
  <c r="K25" i="3"/>
  <c r="K26" i="3"/>
  <c r="K27" i="3"/>
  <c r="K28" i="3"/>
  <c r="K29" i="3"/>
  <c r="K30" i="3"/>
  <c r="K31" i="3"/>
  <c r="L20" i="3"/>
  <c r="L21" i="3"/>
  <c r="L22" i="3"/>
  <c r="L23" i="3"/>
  <c r="L24" i="3"/>
  <c r="L25" i="3"/>
  <c r="L26" i="3"/>
  <c r="L27" i="3"/>
  <c r="L28" i="3"/>
  <c r="L29" i="3"/>
  <c r="L30" i="3"/>
  <c r="L31" i="3"/>
  <c r="M20" i="3"/>
  <c r="M21" i="3"/>
  <c r="M22" i="3"/>
  <c r="M23" i="3"/>
  <c r="M24" i="3"/>
  <c r="M25" i="3"/>
  <c r="M26" i="3"/>
  <c r="M27" i="3"/>
  <c r="M28" i="3"/>
  <c r="M29" i="3"/>
  <c r="M30" i="3"/>
  <c r="M31" i="3"/>
  <c r="N20" i="3"/>
  <c r="N21" i="3"/>
  <c r="N22" i="3"/>
  <c r="N23" i="3"/>
  <c r="N24" i="3"/>
  <c r="N25" i="3"/>
  <c r="N26" i="3"/>
  <c r="N27" i="3"/>
  <c r="N28" i="3"/>
  <c r="N29" i="3"/>
  <c r="N30" i="3"/>
  <c r="N31" i="3"/>
  <c r="O20" i="3"/>
  <c r="O21" i="3"/>
  <c r="O22" i="3"/>
  <c r="O23" i="3"/>
  <c r="O24" i="3"/>
  <c r="O25" i="3"/>
  <c r="O26" i="3"/>
  <c r="O27" i="3"/>
  <c r="O28" i="3"/>
  <c r="O29" i="3"/>
  <c r="O30" i="3"/>
  <c r="O31" i="3"/>
  <c r="P20" i="3"/>
  <c r="P21" i="3"/>
  <c r="P22" i="3"/>
  <c r="P23" i="3"/>
  <c r="P24" i="3"/>
  <c r="P25" i="3"/>
  <c r="P26" i="3"/>
  <c r="P27" i="3"/>
  <c r="P28" i="3"/>
  <c r="P29" i="3"/>
  <c r="P30" i="3"/>
  <c r="P31" i="3"/>
  <c r="Q20" i="3"/>
  <c r="Q21" i="3"/>
  <c r="Q22" i="3"/>
  <c r="Q23" i="3"/>
  <c r="Q24" i="3"/>
  <c r="Q25" i="3"/>
  <c r="Q26" i="3"/>
  <c r="Q27" i="3"/>
  <c r="Q28" i="3"/>
  <c r="Q29" i="3"/>
  <c r="Q30" i="3"/>
  <c r="Q31" i="3"/>
  <c r="R20" i="3"/>
  <c r="R21" i="3"/>
  <c r="R22" i="3"/>
  <c r="R23" i="3"/>
  <c r="R24" i="3"/>
  <c r="R25" i="3"/>
  <c r="R26" i="3"/>
  <c r="R27" i="3"/>
  <c r="R28" i="3"/>
  <c r="R29" i="3"/>
  <c r="R30" i="3"/>
  <c r="R31" i="3"/>
  <c r="S20" i="3"/>
  <c r="S21" i="3"/>
  <c r="S22" i="3"/>
  <c r="S23" i="3"/>
  <c r="S24" i="3"/>
  <c r="S25" i="3"/>
  <c r="S26" i="3"/>
  <c r="S27" i="3"/>
  <c r="S28" i="3"/>
  <c r="S29" i="3"/>
  <c r="S30" i="3"/>
  <c r="S31" i="3"/>
  <c r="T20" i="3"/>
  <c r="T21" i="3"/>
  <c r="T22" i="3"/>
  <c r="T23" i="3"/>
  <c r="T24" i="3"/>
  <c r="T25" i="3"/>
  <c r="T26" i="3"/>
  <c r="T27" i="3"/>
  <c r="T28" i="3"/>
  <c r="T29" i="3"/>
  <c r="T30" i="3"/>
  <c r="T31" i="3"/>
  <c r="U20" i="3"/>
  <c r="U21" i="3"/>
  <c r="U22" i="3"/>
  <c r="U23" i="3"/>
  <c r="U24" i="3"/>
  <c r="U25" i="3"/>
  <c r="U26" i="3"/>
  <c r="U27" i="3"/>
  <c r="U28" i="3"/>
  <c r="U29" i="3"/>
  <c r="U30" i="3"/>
  <c r="U31" i="3"/>
  <c r="V20" i="3"/>
  <c r="V21" i="3"/>
  <c r="V22" i="3"/>
  <c r="V23" i="3"/>
  <c r="V24" i="3"/>
  <c r="V25" i="3"/>
  <c r="V26" i="3"/>
  <c r="V27" i="3"/>
  <c r="V28" i="3"/>
  <c r="V29" i="3"/>
  <c r="V30" i="3"/>
  <c r="V31" i="3"/>
  <c r="W20" i="3"/>
  <c r="W21" i="3"/>
  <c r="W22" i="3"/>
  <c r="W23" i="3"/>
  <c r="W24" i="3"/>
  <c r="W25" i="3"/>
  <c r="W26" i="3"/>
  <c r="W27" i="3"/>
  <c r="W28" i="3"/>
  <c r="W29" i="3"/>
  <c r="W30" i="3"/>
  <c r="W31" i="3"/>
  <c r="X20" i="3"/>
  <c r="X21" i="3"/>
  <c r="X22" i="3"/>
  <c r="X23" i="3"/>
  <c r="X24" i="3"/>
  <c r="X25" i="3"/>
  <c r="X26" i="3"/>
  <c r="X27" i="3"/>
  <c r="X28" i="3"/>
  <c r="X29" i="3"/>
  <c r="X30" i="3"/>
  <c r="X31" i="3"/>
  <c r="Y20" i="3"/>
  <c r="Y21" i="3"/>
  <c r="Y22" i="3"/>
  <c r="Y23" i="3"/>
  <c r="Y24" i="3"/>
  <c r="Y25" i="3"/>
  <c r="Y26" i="3"/>
  <c r="Y27" i="3"/>
  <c r="Y28" i="3"/>
  <c r="Y29" i="3"/>
  <c r="Y30" i="3"/>
  <c r="Y31" i="3"/>
  <c r="Z20" i="3"/>
  <c r="Z21" i="3"/>
  <c r="Z22" i="3"/>
  <c r="Z23" i="3"/>
  <c r="Z24" i="3"/>
  <c r="Z25" i="3"/>
  <c r="Z26" i="3"/>
  <c r="Z27" i="3"/>
  <c r="Z28" i="3"/>
  <c r="Z29" i="3"/>
  <c r="Z30" i="3"/>
  <c r="Z31" i="3"/>
  <c r="C30" i="3"/>
  <c r="AA30" i="3"/>
  <c r="C29" i="3"/>
  <c r="AA29" i="3"/>
  <c r="C28" i="3"/>
  <c r="AA28" i="3"/>
  <c r="C27" i="3"/>
  <c r="AA27" i="3"/>
  <c r="C26" i="3"/>
  <c r="AA26" i="3"/>
  <c r="C25" i="3"/>
  <c r="AA25" i="3"/>
  <c r="C24" i="3"/>
  <c r="C23" i="3"/>
  <c r="C22" i="3"/>
  <c r="AA22" i="3"/>
  <c r="AA24" i="3"/>
  <c r="Z6" i="3"/>
  <c r="Z7" i="3"/>
  <c r="Z8" i="3"/>
  <c r="Z9" i="3"/>
  <c r="Z10" i="3"/>
  <c r="Z11" i="3"/>
  <c r="Z12" i="3"/>
  <c r="Z13" i="3"/>
  <c r="Z14" i="3"/>
  <c r="G6" i="22"/>
  <c r="A25" i="3"/>
  <c r="B100" i="22"/>
  <c r="B95" i="22"/>
  <c r="B87" i="22"/>
  <c r="B75" i="22"/>
  <c r="B63" i="22"/>
  <c r="B50" i="22"/>
  <c r="B42" i="22"/>
  <c r="B30" i="22"/>
  <c r="B18" i="22"/>
  <c r="B6" i="22"/>
  <c r="C20" i="3"/>
  <c r="A30" i="3"/>
  <c r="A29" i="3"/>
  <c r="A28" i="3"/>
  <c r="A27" i="3"/>
  <c r="A26" i="3"/>
  <c r="A24" i="3"/>
  <c r="A23" i="3"/>
  <c r="A22" i="3"/>
  <c r="AR60" i="17"/>
  <c r="AQ60" i="17"/>
  <c r="AP60" i="17"/>
  <c r="AO60" i="17"/>
  <c r="AN60" i="17"/>
  <c r="AM60" i="17"/>
  <c r="AL60" i="17"/>
  <c r="AK60" i="17"/>
  <c r="AL61" i="17"/>
  <c r="AM61" i="17" s="1"/>
  <c r="AN61" i="17" s="1"/>
  <c r="AO61" i="17" s="1"/>
  <c r="AP61" i="17" s="1"/>
  <c r="AQ61" i="17" s="1"/>
  <c r="AR61" i="17" s="1"/>
  <c r="AK59" i="17"/>
  <c r="AL59" i="17"/>
  <c r="AM59" i="17"/>
  <c r="AN59" i="17" s="1"/>
  <c r="AP50" i="17"/>
  <c r="AP52" i="17"/>
  <c r="AP53" i="17"/>
  <c r="AP57" i="17" s="1"/>
  <c r="AP55" i="17"/>
  <c r="AP56" i="17"/>
  <c r="AR55" i="17"/>
  <c r="AR56" i="17"/>
  <c r="AQ55" i="17"/>
  <c r="AQ56" i="17"/>
  <c r="AO55" i="17"/>
  <c r="AO56" i="17"/>
  <c r="AN55" i="17"/>
  <c r="AN56" i="17"/>
  <c r="AM55" i="17"/>
  <c r="AM56" i="17"/>
  <c r="AL55" i="17"/>
  <c r="AL56" i="17"/>
  <c r="AK55" i="17"/>
  <c r="AK56" i="17"/>
  <c r="AR52" i="17"/>
  <c r="AQ52" i="17"/>
  <c r="AO52" i="17"/>
  <c r="AN52" i="17"/>
  <c r="AM52" i="17"/>
  <c r="AL52" i="17"/>
  <c r="AK52" i="17"/>
  <c r="AR50" i="17"/>
  <c r="AR53" i="17"/>
  <c r="AR57" i="17"/>
  <c r="AQ50" i="17"/>
  <c r="AQ53" i="17"/>
  <c r="AQ57" i="17" s="1"/>
  <c r="AO50" i="17"/>
  <c r="AO53" i="17"/>
  <c r="AN50" i="17"/>
  <c r="AN53" i="17"/>
  <c r="AN57" i="17"/>
  <c r="AM50" i="17"/>
  <c r="AM53" i="17"/>
  <c r="AL50" i="17"/>
  <c r="AL53" i="17"/>
  <c r="AL57" i="17"/>
  <c r="AK50" i="17"/>
  <c r="AK53" i="17"/>
  <c r="AK57" i="17"/>
  <c r="AK62" i="17"/>
  <c r="AK63" i="17" s="1"/>
  <c r="AK45" i="17"/>
  <c r="AL45" i="17"/>
  <c r="AM45" i="17"/>
  <c r="AN45" i="17" s="1"/>
  <c r="AK44" i="17"/>
  <c r="AL44" i="17"/>
  <c r="AM44" i="17"/>
  <c r="AN44" i="17" s="1"/>
  <c r="AO44" i="17" s="1"/>
  <c r="AP44" i="17" s="1"/>
  <c r="AQ44" i="17" s="1"/>
  <c r="AR44" i="17" s="1"/>
  <c r="AK43" i="17"/>
  <c r="AL43" i="17"/>
  <c r="AM43" i="17"/>
  <c r="AN43" i="17" s="1"/>
  <c r="AO43" i="17" s="1"/>
  <c r="AP43" i="17" s="1"/>
  <c r="AQ43" i="17" s="1"/>
  <c r="AR43" i="17" s="1"/>
  <c r="AK40" i="17"/>
  <c r="AL40" i="17"/>
  <c r="AM40" i="17"/>
  <c r="AN40" i="17" s="1"/>
  <c r="AM38" i="17"/>
  <c r="AM39" i="17"/>
  <c r="AM46" i="17"/>
  <c r="AR39" i="17"/>
  <c r="AQ39" i="17"/>
  <c r="AP39" i="17"/>
  <c r="AO39" i="17"/>
  <c r="AN39" i="17"/>
  <c r="AL39" i="17"/>
  <c r="AK39" i="17"/>
  <c r="AR38" i="17"/>
  <c r="AQ38" i="17"/>
  <c r="AP38" i="17"/>
  <c r="AO38" i="17"/>
  <c r="AL38" i="17"/>
  <c r="AL41" i="17"/>
  <c r="D16" i="4"/>
  <c r="C16" i="4"/>
  <c r="B38" i="5"/>
  <c r="H39" i="5"/>
  <c r="G15" i="4"/>
  <c r="G16" i="4"/>
  <c r="F15" i="4"/>
  <c r="F16" i="4"/>
  <c r="E15" i="4"/>
  <c r="E16" i="4"/>
  <c r="I27" i="10"/>
  <c r="J27" i="10"/>
  <c r="I28" i="10"/>
  <c r="J28" i="10"/>
  <c r="I29" i="10"/>
  <c r="J29" i="10"/>
  <c r="I30" i="10"/>
  <c r="J30" i="10"/>
  <c r="I31" i="10"/>
  <c r="J31" i="10"/>
  <c r="I32" i="10"/>
  <c r="J32" i="10"/>
  <c r="I33" i="10"/>
  <c r="J33" i="10"/>
  <c r="I34" i="10"/>
  <c r="J34" i="10"/>
  <c r="I35" i="10"/>
  <c r="J35" i="10"/>
  <c r="I36" i="10"/>
  <c r="J36" i="10"/>
  <c r="I37" i="10"/>
  <c r="J37" i="10"/>
  <c r="I38" i="10"/>
  <c r="J38" i="10"/>
  <c r="I39" i="10"/>
  <c r="J39" i="10"/>
  <c r="I40" i="10"/>
  <c r="J40" i="10"/>
  <c r="I41" i="10"/>
  <c r="J41" i="10"/>
  <c r="I42" i="10"/>
  <c r="J42" i="10"/>
  <c r="I43" i="10"/>
  <c r="J43" i="10"/>
  <c r="I44" i="10"/>
  <c r="J44" i="10"/>
  <c r="I45" i="10"/>
  <c r="J45" i="10"/>
  <c r="I46" i="10"/>
  <c r="J46" i="10"/>
  <c r="I47" i="10"/>
  <c r="J47" i="10"/>
  <c r="I48" i="10"/>
  <c r="J48" i="10"/>
  <c r="I49" i="10"/>
  <c r="I50" i="10"/>
  <c r="J50" i="10"/>
  <c r="I26" i="10"/>
  <c r="J26" i="10"/>
  <c r="C8" i="4"/>
  <c r="B23" i="5"/>
  <c r="D7" i="4"/>
  <c r="D8" i="4"/>
  <c r="G8" i="4"/>
  <c r="F8" i="4"/>
  <c r="E8" i="4"/>
  <c r="M7" i="4"/>
  <c r="N7" i="4"/>
  <c r="O7" i="4"/>
  <c r="M5" i="4"/>
  <c r="N5" i="4"/>
  <c r="O5" i="4"/>
  <c r="I22" i="26"/>
  <c r="G22" i="26"/>
  <c r="E22" i="26"/>
  <c r="D22" i="26"/>
  <c r="J21" i="26"/>
  <c r="H21" i="26"/>
  <c r="F21" i="26"/>
  <c r="J20" i="26"/>
  <c r="H20" i="26"/>
  <c r="F20" i="26"/>
  <c r="J19" i="26"/>
  <c r="H19" i="26"/>
  <c r="F19" i="26"/>
  <c r="J18" i="26"/>
  <c r="H18" i="26"/>
  <c r="H22" i="26"/>
  <c r="F18" i="26"/>
  <c r="F22" i="26"/>
  <c r="J17" i="26"/>
  <c r="D6" i="11"/>
  <c r="D5" i="11"/>
  <c r="D4" i="11"/>
  <c r="E4" i="11"/>
  <c r="D5" i="7"/>
  <c r="C7" i="9"/>
  <c r="E29" i="7"/>
  <c r="H29" i="7"/>
  <c r="E28" i="7"/>
  <c r="H28" i="7"/>
  <c r="H27" i="7"/>
  <c r="D6" i="7"/>
  <c r="D7" i="7"/>
  <c r="D8" i="7"/>
  <c r="E8" i="7"/>
  <c r="H8" i="7"/>
  <c r="D9" i="7"/>
  <c r="A6" i="7"/>
  <c r="A7" i="7"/>
  <c r="A9" i="7"/>
  <c r="A5" i="7"/>
  <c r="C6" i="7"/>
  <c r="C7" i="7"/>
  <c r="C8" i="7"/>
  <c r="C9" i="7"/>
  <c r="C5" i="7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B34" i="5"/>
  <c r="C34" i="5"/>
  <c r="A34" i="5"/>
  <c r="A21" i="3"/>
  <c r="A20" i="3"/>
  <c r="C8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D7" i="11"/>
  <c r="D8" i="11"/>
  <c r="D9" i="11"/>
  <c r="F4" i="8"/>
  <c r="G4" i="10"/>
  <c r="B9" i="11"/>
  <c r="E9" i="11"/>
  <c r="D10" i="11"/>
  <c r="D11" i="11"/>
  <c r="D12" i="11"/>
  <c r="D13" i="11"/>
  <c r="D14" i="11"/>
  <c r="D15" i="11"/>
  <c r="D16" i="11"/>
  <c r="D17" i="11"/>
  <c r="N4" i="8"/>
  <c r="O4" i="10"/>
  <c r="B17" i="11"/>
  <c r="E17" i="11"/>
  <c r="D18" i="11"/>
  <c r="D19" i="11"/>
  <c r="D20" i="11"/>
  <c r="D21" i="11"/>
  <c r="D22" i="11"/>
  <c r="D23" i="11"/>
  <c r="D24" i="11"/>
  <c r="D25" i="11"/>
  <c r="D26" i="11"/>
  <c r="D27" i="11"/>
  <c r="D28" i="11"/>
  <c r="D5" i="2"/>
  <c r="D27" i="17"/>
  <c r="J22" i="26"/>
  <c r="H7" i="4"/>
  <c r="I7" i="4"/>
  <c r="C21" i="3"/>
  <c r="AL62" i="17"/>
  <c r="AL63" i="17" s="1"/>
  <c r="E26" i="7"/>
  <c r="H26" i="7"/>
  <c r="E19" i="7"/>
  <c r="H19" i="7"/>
  <c r="E21" i="7"/>
  <c r="H21" i="7"/>
  <c r="E25" i="7"/>
  <c r="H25" i="7"/>
  <c r="E17" i="7"/>
  <c r="H17" i="7"/>
  <c r="E13" i="7"/>
  <c r="H13" i="7"/>
  <c r="E20" i="7"/>
  <c r="H20" i="7"/>
  <c r="E22" i="7"/>
  <c r="H22" i="7"/>
  <c r="E7" i="7"/>
  <c r="H7" i="7"/>
  <c r="E23" i="7"/>
  <c r="H23" i="7"/>
  <c r="E12" i="7"/>
  <c r="H12" i="7"/>
  <c r="E11" i="7"/>
  <c r="H11" i="7"/>
  <c r="E10" i="7"/>
  <c r="H10" i="7"/>
  <c r="E14" i="7"/>
  <c r="H14" i="7"/>
  <c r="E9" i="7"/>
  <c r="H9" i="7"/>
  <c r="AK46" i="17"/>
  <c r="AL46" i="17"/>
  <c r="AL47" i="17" s="1"/>
  <c r="E5" i="7"/>
  <c r="H5" i="7"/>
  <c r="E6" i="7"/>
  <c r="H6" i="7"/>
  <c r="J16" i="4"/>
  <c r="B10" i="8"/>
  <c r="H15" i="4"/>
  <c r="H5" i="4"/>
  <c r="I5" i="4"/>
  <c r="I8" i="4"/>
  <c r="D4" i="8"/>
  <c r="C4" i="8"/>
  <c r="AA23" i="3"/>
  <c r="C31" i="3"/>
  <c r="B4" i="8"/>
  <c r="C4" i="10"/>
  <c r="B5" i="11"/>
  <c r="E5" i="11"/>
  <c r="E4" i="10"/>
  <c r="J49" i="10"/>
  <c r="AN38" i="17"/>
  <c r="AM57" i="17"/>
  <c r="AO57" i="17"/>
  <c r="J8" i="4"/>
  <c r="AK41" i="17"/>
  <c r="D11" i="17"/>
  <c r="C13" i="18"/>
  <c r="C37" i="18" s="1"/>
  <c r="H15" i="7"/>
  <c r="D12" i="17"/>
  <c r="E12" i="17"/>
  <c r="F12" i="17"/>
  <c r="G12" i="17"/>
  <c r="H12" i="17"/>
  <c r="I12" i="17"/>
  <c r="J12" i="17"/>
  <c r="K12" i="17"/>
  <c r="AK47" i="17"/>
  <c r="H4" i="7"/>
  <c r="H30" i="7"/>
  <c r="D13" i="17"/>
  <c r="H16" i="4"/>
  <c r="I15" i="4"/>
  <c r="I16" i="4"/>
  <c r="C16" i="18"/>
  <c r="D7" i="17"/>
  <c r="D4" i="10"/>
  <c r="B6" i="11"/>
  <c r="E6" i="11"/>
  <c r="B7" i="11"/>
  <c r="E7" i="11"/>
  <c r="C19" i="18"/>
  <c r="E11" i="17"/>
  <c r="B40" i="5"/>
  <c r="B37" i="5"/>
  <c r="C10" i="10"/>
  <c r="C40" i="5"/>
  <c r="C33" i="18"/>
  <c r="E13" i="17"/>
  <c r="D14" i="17"/>
  <c r="G4" i="8"/>
  <c r="F11" i="17"/>
  <c r="D19" i="18"/>
  <c r="D13" i="18"/>
  <c r="D33" i="18" s="1"/>
  <c r="B14" i="8"/>
  <c r="F13" i="17"/>
  <c r="E14" i="17"/>
  <c r="H4" i="10"/>
  <c r="Z4" i="3"/>
  <c r="H4" i="8"/>
  <c r="E7" i="17"/>
  <c r="G7" i="17"/>
  <c r="E4" i="8"/>
  <c r="F7" i="17"/>
  <c r="H7" i="17"/>
  <c r="G11" i="17"/>
  <c r="E19" i="18"/>
  <c r="E13" i="18"/>
  <c r="I4" i="10"/>
  <c r="I4" i="8"/>
  <c r="D16" i="18"/>
  <c r="F4" i="10"/>
  <c r="B10" i="11"/>
  <c r="E10" i="11"/>
  <c r="F14" i="17"/>
  <c r="G13" i="17"/>
  <c r="I7" i="17"/>
  <c r="H11" i="17"/>
  <c r="F19" i="18"/>
  <c r="F13" i="18"/>
  <c r="H13" i="17"/>
  <c r="G14" i="17"/>
  <c r="D37" i="18"/>
  <c r="K4" i="8"/>
  <c r="B11" i="11"/>
  <c r="E11" i="11"/>
  <c r="J4" i="10"/>
  <c r="B8" i="11"/>
  <c r="E8" i="11"/>
  <c r="J4" i="8"/>
  <c r="J7" i="17"/>
  <c r="G19" i="18"/>
  <c r="G13" i="18"/>
  <c r="I11" i="17"/>
  <c r="K7" i="17"/>
  <c r="L4" i="10"/>
  <c r="L4" i="8"/>
  <c r="B12" i="11"/>
  <c r="E12" i="11"/>
  <c r="K4" i="10"/>
  <c r="H14" i="17"/>
  <c r="I13" i="17"/>
  <c r="E16" i="18"/>
  <c r="J11" i="17"/>
  <c r="H19" i="18"/>
  <c r="H13" i="18"/>
  <c r="H33" i="18" s="1"/>
  <c r="I14" i="17"/>
  <c r="J13" i="17"/>
  <c r="E33" i="18"/>
  <c r="E37" i="18"/>
  <c r="B13" i="11"/>
  <c r="E13" i="11"/>
  <c r="M4" i="8"/>
  <c r="M4" i="10"/>
  <c r="B14" i="11"/>
  <c r="E14" i="11"/>
  <c r="I13" i="18"/>
  <c r="K11" i="17"/>
  <c r="I19" i="18"/>
  <c r="K13" i="17"/>
  <c r="J14" i="17"/>
  <c r="N4" i="10"/>
  <c r="B15" i="11"/>
  <c r="E15" i="11"/>
  <c r="F16" i="18"/>
  <c r="K14" i="17"/>
  <c r="J19" i="18"/>
  <c r="J13" i="18"/>
  <c r="J37" i="18" s="1"/>
  <c r="B16" i="11"/>
  <c r="E16" i="11"/>
  <c r="O4" i="8"/>
  <c r="F33" i="18"/>
  <c r="F37" i="18"/>
  <c r="P4" i="8"/>
  <c r="G16" i="18"/>
  <c r="P4" i="10"/>
  <c r="AA21" i="3"/>
  <c r="Z5" i="3"/>
  <c r="Q4" i="8"/>
  <c r="Q4" i="10"/>
  <c r="G37" i="18"/>
  <c r="G33" i="18"/>
  <c r="B18" i="11"/>
  <c r="E18" i="11"/>
  <c r="R4" i="8"/>
  <c r="R4" i="10"/>
  <c r="B19" i="11"/>
  <c r="E19" i="11"/>
  <c r="S4" i="10"/>
  <c r="S4" i="8"/>
  <c r="B20" i="11"/>
  <c r="E20" i="11"/>
  <c r="B21" i="11"/>
  <c r="E21" i="11"/>
  <c r="T4" i="10"/>
  <c r="H16" i="18"/>
  <c r="T4" i="8"/>
  <c r="U4" i="8"/>
  <c r="U4" i="10"/>
  <c r="B22" i="11"/>
  <c r="E22" i="11"/>
  <c r="H37" i="18"/>
  <c r="V4" i="10"/>
  <c r="B23" i="11"/>
  <c r="E23" i="11"/>
  <c r="V4" i="8"/>
  <c r="W4" i="10"/>
  <c r="I16" i="18"/>
  <c r="W4" i="8"/>
  <c r="B24" i="11"/>
  <c r="E24" i="11"/>
  <c r="X4" i="10"/>
  <c r="I33" i="18"/>
  <c r="I37" i="18"/>
  <c r="B25" i="11"/>
  <c r="E25" i="11"/>
  <c r="X4" i="8"/>
  <c r="B26" i="11"/>
  <c r="E26" i="11"/>
  <c r="Y4" i="8"/>
  <c r="AA20" i="3"/>
  <c r="AA31" i="3"/>
  <c r="Y4" i="10"/>
  <c r="Z4" i="10"/>
  <c r="B27" i="11"/>
  <c r="E27" i="11"/>
  <c r="J16" i="18"/>
  <c r="B28" i="11"/>
  <c r="E28" i="11"/>
  <c r="J33" i="18"/>
  <c r="C16" i="12"/>
  <c r="K6" i="5"/>
  <c r="K7" i="8"/>
  <c r="C6" i="5"/>
  <c r="B33" i="5"/>
  <c r="B11" i="8"/>
  <c r="M7" i="8"/>
  <c r="M5" i="8" s="1"/>
  <c r="M9" i="8" s="1"/>
  <c r="M12" i="8" s="1"/>
  <c r="C14" i="8"/>
  <c r="D40" i="5"/>
  <c r="C38" i="5"/>
  <c r="D38" i="5"/>
  <c r="D37" i="5"/>
  <c r="E10" i="10"/>
  <c r="T39" i="5"/>
  <c r="Y39" i="5"/>
  <c r="D8" i="17"/>
  <c r="E8" i="17" s="1"/>
  <c r="M39" i="5"/>
  <c r="T6" i="5"/>
  <c r="S6" i="5"/>
  <c r="B18" i="10"/>
  <c r="C23" i="18"/>
  <c r="E27" i="17"/>
  <c r="J6" i="5"/>
  <c r="R6" i="5"/>
  <c r="I6" i="5"/>
  <c r="Y6" i="5"/>
  <c r="Y7" i="8"/>
  <c r="B7" i="8"/>
  <c r="C10" i="8"/>
  <c r="E38" i="5"/>
  <c r="C37" i="5"/>
  <c r="D10" i="10"/>
  <c r="S7" i="8"/>
  <c r="R7" i="8"/>
  <c r="J7" i="8"/>
  <c r="T7" i="8"/>
  <c r="I7" i="8"/>
  <c r="D23" i="18"/>
  <c r="F27" i="17"/>
  <c r="G27" i="17"/>
  <c r="E23" i="18"/>
  <c r="H27" i="17"/>
  <c r="F23" i="18"/>
  <c r="I27" i="17"/>
  <c r="G23" i="18"/>
  <c r="J27" i="17"/>
  <c r="H23" i="18"/>
  <c r="K27" i="17"/>
  <c r="J23" i="18"/>
  <c r="I23" i="18"/>
  <c r="H8" i="4"/>
  <c r="D10" i="8"/>
  <c r="E29" i="11"/>
  <c r="J51" i="10"/>
  <c r="E10" i="8"/>
  <c r="F38" i="5"/>
  <c r="D14" i="8"/>
  <c r="E40" i="5"/>
  <c r="C9" i="10"/>
  <c r="D34" i="5"/>
  <c r="C33" i="5"/>
  <c r="N8" i="4"/>
  <c r="O8" i="4"/>
  <c r="C23" i="5"/>
  <c r="M24" i="5"/>
  <c r="B22" i="5"/>
  <c r="T24" i="5"/>
  <c r="Y24" i="5"/>
  <c r="H24" i="5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F40" i="5"/>
  <c r="E14" i="8"/>
  <c r="F37" i="5"/>
  <c r="G10" i="10"/>
  <c r="F10" i="8"/>
  <c r="G38" i="5"/>
  <c r="E37" i="5"/>
  <c r="F10" i="10"/>
  <c r="C11" i="8"/>
  <c r="D9" i="10"/>
  <c r="D33" i="5"/>
  <c r="E34" i="5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B5" i="5"/>
  <c r="C22" i="5"/>
  <c r="D23" i="5"/>
  <c r="B4" i="5"/>
  <c r="C8" i="10" s="1"/>
  <c r="C6" i="10" s="1"/>
  <c r="G10" i="8"/>
  <c r="H38" i="5"/>
  <c r="F14" i="8"/>
  <c r="G40" i="5"/>
  <c r="G37" i="5"/>
  <c r="H10" i="10"/>
  <c r="E33" i="5"/>
  <c r="F34" i="5"/>
  <c r="E9" i="10"/>
  <c r="D11" i="8"/>
  <c r="C22" i="18"/>
  <c r="B5" i="8"/>
  <c r="B9" i="8"/>
  <c r="B12" i="8" s="1"/>
  <c r="E23" i="5"/>
  <c r="D22" i="5"/>
  <c r="I38" i="5"/>
  <c r="H10" i="8"/>
  <c r="H40" i="5"/>
  <c r="G14" i="8"/>
  <c r="G22" i="18"/>
  <c r="D22" i="18"/>
  <c r="H22" i="18"/>
  <c r="E11" i="8"/>
  <c r="F9" i="10"/>
  <c r="G34" i="5"/>
  <c r="F33" i="5"/>
  <c r="E22" i="5"/>
  <c r="F23" i="5"/>
  <c r="D5" i="5"/>
  <c r="E8" i="10" s="1"/>
  <c r="E6" i="10"/>
  <c r="C7" i="11" s="1"/>
  <c r="F7" i="11" s="1"/>
  <c r="H14" i="8"/>
  <c r="I40" i="5"/>
  <c r="J38" i="5"/>
  <c r="I10" i="8"/>
  <c r="I37" i="5"/>
  <c r="J10" i="10"/>
  <c r="H37" i="5"/>
  <c r="I10" i="10"/>
  <c r="G9" i="10"/>
  <c r="F11" i="8"/>
  <c r="H34" i="5"/>
  <c r="G33" i="5"/>
  <c r="F22" i="5"/>
  <c r="G23" i="5"/>
  <c r="E5" i="5"/>
  <c r="F8" i="10" s="1"/>
  <c r="F6" i="10" s="1"/>
  <c r="C8" i="11" s="1"/>
  <c r="F8" i="11" s="1"/>
  <c r="E12" i="10"/>
  <c r="K38" i="5"/>
  <c r="J10" i="8"/>
  <c r="J40" i="5"/>
  <c r="J37" i="5"/>
  <c r="K10" i="10"/>
  <c r="I14" i="8"/>
  <c r="H9" i="10"/>
  <c r="G11" i="8"/>
  <c r="I34" i="5"/>
  <c r="H33" i="5"/>
  <c r="E9" i="8"/>
  <c r="E12" i="8" s="1"/>
  <c r="H23" i="5"/>
  <c r="G22" i="5"/>
  <c r="F5" i="8"/>
  <c r="F9" i="8" s="1"/>
  <c r="F12" i="8" s="1"/>
  <c r="F5" i="5"/>
  <c r="F12" i="10"/>
  <c r="G8" i="10"/>
  <c r="G6" i="10" s="1"/>
  <c r="K40" i="5"/>
  <c r="J14" i="8"/>
  <c r="L38" i="5"/>
  <c r="K37" i="5"/>
  <c r="L10" i="10"/>
  <c r="K10" i="8"/>
  <c r="H11" i="8"/>
  <c r="I9" i="10"/>
  <c r="I33" i="5"/>
  <c r="J34" i="5"/>
  <c r="G5" i="8"/>
  <c r="G9" i="8"/>
  <c r="G12" i="8" s="1"/>
  <c r="G5" i="5"/>
  <c r="I23" i="5"/>
  <c r="H22" i="5"/>
  <c r="G4" i="5"/>
  <c r="H8" i="10" s="1"/>
  <c r="H6" i="10" s="1"/>
  <c r="L40" i="5"/>
  <c r="L37" i="5"/>
  <c r="M10" i="10"/>
  <c r="M38" i="5"/>
  <c r="L10" i="8"/>
  <c r="K14" i="8"/>
  <c r="K34" i="5"/>
  <c r="J33" i="5"/>
  <c r="I11" i="8"/>
  <c r="J9" i="10"/>
  <c r="H5" i="8"/>
  <c r="H5" i="5"/>
  <c r="J23" i="5"/>
  <c r="I22" i="5"/>
  <c r="D18" i="18"/>
  <c r="H4" i="5"/>
  <c r="I8" i="10" s="1"/>
  <c r="I6" i="10" s="1"/>
  <c r="I12" i="10" s="1"/>
  <c r="M40" i="5"/>
  <c r="M37" i="5"/>
  <c r="N10" i="10"/>
  <c r="L14" i="8"/>
  <c r="N38" i="5"/>
  <c r="M10" i="8"/>
  <c r="J11" i="8"/>
  <c r="E22" i="18"/>
  <c r="K9" i="10"/>
  <c r="L34" i="5"/>
  <c r="K33" i="5"/>
  <c r="J22" i="5"/>
  <c r="K23" i="5"/>
  <c r="I5" i="5"/>
  <c r="I4" i="5" s="1"/>
  <c r="I5" i="8"/>
  <c r="I9" i="8" s="1"/>
  <c r="I12" i="8" s="1"/>
  <c r="J8" i="10"/>
  <c r="J6" i="10" s="1"/>
  <c r="N40" i="5"/>
  <c r="N37" i="5"/>
  <c r="O10" i="10"/>
  <c r="M14" i="8"/>
  <c r="N10" i="8"/>
  <c r="O38" i="5"/>
  <c r="F22" i="18"/>
  <c r="J22" i="18"/>
  <c r="I22" i="18"/>
  <c r="L9" i="10"/>
  <c r="K11" i="8"/>
  <c r="L33" i="5"/>
  <c r="M34" i="5"/>
  <c r="L23" i="5"/>
  <c r="K22" i="5"/>
  <c r="J5" i="8"/>
  <c r="J9" i="8" s="1"/>
  <c r="J12" i="8" s="1"/>
  <c r="J5" i="5"/>
  <c r="J4" i="5"/>
  <c r="K8" i="10" s="1"/>
  <c r="K6" i="10" s="1"/>
  <c r="O10" i="8"/>
  <c r="P38" i="5"/>
  <c r="O40" i="5"/>
  <c r="N14" i="8"/>
  <c r="L11" i="8"/>
  <c r="M9" i="10"/>
  <c r="N34" i="5"/>
  <c r="M33" i="5"/>
  <c r="L22" i="5"/>
  <c r="M23" i="5"/>
  <c r="K5" i="8"/>
  <c r="K9" i="8" s="1"/>
  <c r="K12" i="8" s="1"/>
  <c r="K5" i="5"/>
  <c r="K4" i="5"/>
  <c r="L8" i="10" s="1"/>
  <c r="L6" i="10" s="1"/>
  <c r="P40" i="5"/>
  <c r="P37" i="5"/>
  <c r="Q10" i="10"/>
  <c r="O14" i="8"/>
  <c r="O37" i="5"/>
  <c r="P10" i="10"/>
  <c r="Q38" i="5"/>
  <c r="P10" i="8"/>
  <c r="N9" i="10"/>
  <c r="M11" i="8"/>
  <c r="N33" i="5"/>
  <c r="O34" i="5"/>
  <c r="M22" i="5"/>
  <c r="N23" i="5"/>
  <c r="R38" i="5"/>
  <c r="Q10" i="8"/>
  <c r="Q40" i="5"/>
  <c r="P14" i="8"/>
  <c r="P34" i="5"/>
  <c r="O33" i="5"/>
  <c r="O9" i="10"/>
  <c r="N11" i="8"/>
  <c r="M5" i="5"/>
  <c r="M4" i="5" s="1"/>
  <c r="N8" i="10" s="1"/>
  <c r="O23" i="5"/>
  <c r="N22" i="5"/>
  <c r="N6" i="10"/>
  <c r="R40" i="5"/>
  <c r="Q14" i="8"/>
  <c r="Q37" i="5"/>
  <c r="R10" i="10"/>
  <c r="R37" i="5"/>
  <c r="S10" i="10"/>
  <c r="S38" i="5"/>
  <c r="R10" i="8"/>
  <c r="Q34" i="5"/>
  <c r="P33" i="5"/>
  <c r="O11" i="8"/>
  <c r="P9" i="10"/>
  <c r="P23" i="5"/>
  <c r="O22" i="5"/>
  <c r="N5" i="8"/>
  <c r="N5" i="5"/>
  <c r="N4" i="5"/>
  <c r="O8" i="10" s="1"/>
  <c r="O6" i="10" s="1"/>
  <c r="T38" i="5"/>
  <c r="S10" i="8"/>
  <c r="S40" i="5"/>
  <c r="S37" i="5"/>
  <c r="T10" i="10"/>
  <c r="R14" i="8"/>
  <c r="R34" i="5"/>
  <c r="Q33" i="5"/>
  <c r="P11" i="8"/>
  <c r="Q9" i="10"/>
  <c r="O5" i="8"/>
  <c r="O9" i="8"/>
  <c r="O12" i="8"/>
  <c r="O5" i="5"/>
  <c r="O4" i="5" s="1"/>
  <c r="P8" i="10" s="1"/>
  <c r="P6" i="10" s="1"/>
  <c r="C18" i="11" s="1"/>
  <c r="F18" i="11" s="1"/>
  <c r="P22" i="5"/>
  <c r="Q23" i="5"/>
  <c r="N9" i="8"/>
  <c r="N12" i="8"/>
  <c r="S14" i="8"/>
  <c r="T40" i="5"/>
  <c r="T37" i="5"/>
  <c r="U10" i="10"/>
  <c r="U38" i="5"/>
  <c r="T10" i="8"/>
  <c r="S34" i="5"/>
  <c r="R33" i="5"/>
  <c r="Q11" i="8"/>
  <c r="R9" i="10"/>
  <c r="R23" i="5"/>
  <c r="Q22" i="5"/>
  <c r="P5" i="5"/>
  <c r="P4" i="5" s="1"/>
  <c r="Q8" i="10" s="1"/>
  <c r="Q6" i="10" s="1"/>
  <c r="P5" i="8"/>
  <c r="P9" i="8"/>
  <c r="P12" i="8"/>
  <c r="P12" i="10"/>
  <c r="U10" i="8"/>
  <c r="U40" i="5"/>
  <c r="U37" i="5"/>
  <c r="V10" i="10"/>
  <c r="V38" i="5"/>
  <c r="T14" i="8"/>
  <c r="S33" i="5"/>
  <c r="T34" i="5"/>
  <c r="R11" i="8"/>
  <c r="S9" i="10"/>
  <c r="R22" i="5"/>
  <c r="S23" i="5"/>
  <c r="G18" i="18"/>
  <c r="Q5" i="8"/>
  <c r="Q5" i="5"/>
  <c r="Q4" i="5"/>
  <c r="R8" i="10"/>
  <c r="R6" i="10"/>
  <c r="V40" i="5"/>
  <c r="U14" i="8"/>
  <c r="V10" i="8"/>
  <c r="V37" i="5"/>
  <c r="W10" i="10"/>
  <c r="W38" i="5"/>
  <c r="T9" i="10"/>
  <c r="S11" i="8"/>
  <c r="T33" i="5"/>
  <c r="U34" i="5"/>
  <c r="G48" i="18"/>
  <c r="Q9" i="8"/>
  <c r="Q12" i="8"/>
  <c r="R5" i="8"/>
  <c r="R9" i="8"/>
  <c r="R12" i="8"/>
  <c r="R5" i="5"/>
  <c r="R4" i="5" s="1"/>
  <c r="S8" i="10" s="1"/>
  <c r="S6" i="10" s="1"/>
  <c r="C21" i="11" s="1"/>
  <c r="F21" i="11" s="1"/>
  <c r="S22" i="5"/>
  <c r="T23" i="5"/>
  <c r="R12" i="10"/>
  <c r="C20" i="11"/>
  <c r="F20" i="11" s="1"/>
  <c r="X38" i="5"/>
  <c r="W10" i="8"/>
  <c r="W40" i="5"/>
  <c r="V14" i="8"/>
  <c r="U33" i="5"/>
  <c r="V34" i="5"/>
  <c r="U9" i="10"/>
  <c r="T11" i="8"/>
  <c r="U23" i="5"/>
  <c r="T22" i="5"/>
  <c r="S5" i="8"/>
  <c r="S9" i="8"/>
  <c r="S12" i="8"/>
  <c r="S5" i="5"/>
  <c r="S12" i="10"/>
  <c r="S4" i="5"/>
  <c r="T8" i="10"/>
  <c r="T6" i="10" s="1"/>
  <c r="C22" i="11" s="1"/>
  <c r="F22" i="11" s="1"/>
  <c r="W14" i="8"/>
  <c r="X40" i="5"/>
  <c r="X10" i="8"/>
  <c r="Y38" i="5"/>
  <c r="X37" i="5"/>
  <c r="Y10" i="10"/>
  <c r="W37" i="5"/>
  <c r="X10" i="10"/>
  <c r="W34" i="5"/>
  <c r="V33" i="5"/>
  <c r="U11" i="8"/>
  <c r="V9" i="10"/>
  <c r="H18" i="18"/>
  <c r="U22" i="5"/>
  <c r="V23" i="5"/>
  <c r="T5" i="5"/>
  <c r="T4" i="5" s="1"/>
  <c r="U8" i="10" s="1"/>
  <c r="U6" i="10" s="1"/>
  <c r="C23" i="11" s="1"/>
  <c r="F23" i="11" s="1"/>
  <c r="T5" i="8"/>
  <c r="T12" i="10"/>
  <c r="Y10" i="8"/>
  <c r="Y40" i="5"/>
  <c r="Y37" i="5"/>
  <c r="Z10" i="10"/>
  <c r="X14" i="8"/>
  <c r="Y14" i="8"/>
  <c r="X34" i="5"/>
  <c r="W33" i="5"/>
  <c r="H48" i="18"/>
  <c r="V11" i="8"/>
  <c r="W9" i="10"/>
  <c r="W23" i="5"/>
  <c r="V22" i="5"/>
  <c r="U5" i="8"/>
  <c r="U9" i="8"/>
  <c r="U12" i="8"/>
  <c r="U5" i="5"/>
  <c r="U4" i="5" s="1"/>
  <c r="T9" i="8"/>
  <c r="T12" i="8"/>
  <c r="U12" i="10"/>
  <c r="V8" i="10"/>
  <c r="V6" i="10" s="1"/>
  <c r="X33" i="5"/>
  <c r="Y34" i="5"/>
  <c r="Y33" i="5"/>
  <c r="W11" i="8"/>
  <c r="X9" i="10"/>
  <c r="V5" i="8"/>
  <c r="V9" i="8"/>
  <c r="V12" i="8"/>
  <c r="V5" i="5"/>
  <c r="W22" i="5"/>
  <c r="X23" i="5"/>
  <c r="V4" i="5"/>
  <c r="W8" i="10" s="1"/>
  <c r="W6" i="10" s="1"/>
  <c r="Y11" i="8"/>
  <c r="Z9" i="10"/>
  <c r="X11" i="8"/>
  <c r="Y9" i="10"/>
  <c r="I18" i="18"/>
  <c r="I48" i="18"/>
  <c r="Y23" i="5"/>
  <c r="Y22" i="5"/>
  <c r="X22" i="5"/>
  <c r="W5" i="8"/>
  <c r="W5" i="5"/>
  <c r="W4" i="5" s="1"/>
  <c r="X8" i="10" s="1"/>
  <c r="X6" i="10" s="1"/>
  <c r="X5" i="8"/>
  <c r="X9" i="8"/>
  <c r="X12" i="8"/>
  <c r="X5" i="5"/>
  <c r="Y5" i="5"/>
  <c r="Y5" i="8"/>
  <c r="Y9" i="8"/>
  <c r="Y12" i="8"/>
  <c r="W9" i="8"/>
  <c r="W12" i="8"/>
  <c r="X4" i="5"/>
  <c r="Y8" i="10" s="1"/>
  <c r="Y6" i="10" s="1"/>
  <c r="Y4" i="5"/>
  <c r="Z8" i="10" s="1"/>
  <c r="Z6" i="10" s="1"/>
  <c r="Z12" i="10" s="1"/>
  <c r="J18" i="18"/>
  <c r="J48" i="18"/>
  <c r="Y12" i="10"/>
  <c r="C27" i="11"/>
  <c r="F27" i="11" s="1"/>
  <c r="AO45" i="17" l="1"/>
  <c r="AN46" i="17"/>
  <c r="AN62" i="17"/>
  <c r="AN63" i="17" s="1"/>
  <c r="AO59" i="17"/>
  <c r="AO40" i="17"/>
  <c r="AN41" i="17"/>
  <c r="AM62" i="17"/>
  <c r="AM63" i="17" s="1"/>
  <c r="AM41" i="17"/>
  <c r="AM47" i="17" s="1"/>
  <c r="D48" i="18"/>
  <c r="E18" i="18"/>
  <c r="H9" i="8"/>
  <c r="H12" i="8" s="1"/>
  <c r="X12" i="10"/>
  <c r="C26" i="11"/>
  <c r="F26" i="11" s="1"/>
  <c r="C13" i="11"/>
  <c r="F13" i="11" s="1"/>
  <c r="K12" i="10"/>
  <c r="Q12" i="10"/>
  <c r="C19" i="11"/>
  <c r="F19" i="11" s="1"/>
  <c r="W12" i="10"/>
  <c r="C25" i="11"/>
  <c r="F25" i="11" s="1"/>
  <c r="V12" i="10"/>
  <c r="C24" i="11"/>
  <c r="F24" i="11" s="1"/>
  <c r="O12" i="10"/>
  <c r="C17" i="11"/>
  <c r="F17" i="11" s="1"/>
  <c r="J12" i="10"/>
  <c r="C12" i="11"/>
  <c r="F12" i="11" s="1"/>
  <c r="F8" i="17"/>
  <c r="D7" i="18"/>
  <c r="D34" i="18" s="1"/>
  <c r="C5" i="5"/>
  <c r="C4" i="5" s="1"/>
  <c r="D8" i="10" s="1"/>
  <c r="D6" i="10" s="1"/>
  <c r="C7" i="8"/>
  <c r="C5" i="8" s="1"/>
  <c r="C28" i="11"/>
  <c r="F28" i="11" s="1"/>
  <c r="L12" i="10"/>
  <c r="C14" i="11"/>
  <c r="F14" i="11" s="1"/>
  <c r="C11" i="11"/>
  <c r="F11" i="11" s="1"/>
  <c r="C9" i="11"/>
  <c r="F9" i="11" s="1"/>
  <c r="G12" i="10"/>
  <c r="C7" i="2"/>
  <c r="E57" i="1"/>
  <c r="B7" i="10" s="1"/>
  <c r="B6" i="10" s="1"/>
  <c r="C5" i="11"/>
  <c r="F5" i="11" s="1"/>
  <c r="C12" i="10"/>
  <c r="C16" i="11"/>
  <c r="F16" i="11" s="1"/>
  <c r="N12" i="10"/>
  <c r="C10" i="11"/>
  <c r="F10" i="11" s="1"/>
  <c r="H12" i="10"/>
  <c r="L5" i="5"/>
  <c r="L4" i="5" s="1"/>
  <c r="M8" i="10" s="1"/>
  <c r="M6" i="10" s="1"/>
  <c r="L7" i="8"/>
  <c r="L5" i="8" s="1"/>
  <c r="L9" i="8" s="1"/>
  <c r="L12" i="8" s="1"/>
  <c r="C7" i="18"/>
  <c r="AN47" i="17" l="1"/>
  <c r="AP40" i="17"/>
  <c r="AO41" i="17"/>
  <c r="AP45" i="17"/>
  <c r="AO46" i="17"/>
  <c r="AO47" i="17" s="1"/>
  <c r="AP59" i="17"/>
  <c r="AO62" i="17"/>
  <c r="AO63" i="17" s="1"/>
  <c r="D12" i="10"/>
  <c r="C6" i="11"/>
  <c r="F6" i="11" s="1"/>
  <c r="E48" i="18"/>
  <c r="C15" i="11"/>
  <c r="F15" i="11" s="1"/>
  <c r="M12" i="10"/>
  <c r="B12" i="10"/>
  <c r="C4" i="11"/>
  <c r="F4" i="11" s="1"/>
  <c r="C9" i="8"/>
  <c r="C12" i="8" s="1"/>
  <c r="C18" i="18"/>
  <c r="C6" i="2"/>
  <c r="D6" i="2" s="1"/>
  <c r="D7" i="2"/>
  <c r="F18" i="18"/>
  <c r="G8" i="17"/>
  <c r="E7" i="18"/>
  <c r="E34" i="18" s="1"/>
  <c r="AP46" i="17" l="1"/>
  <c r="AP47" i="17" s="1"/>
  <c r="AQ45" i="17"/>
  <c r="AQ59" i="17"/>
  <c r="AP62" i="17"/>
  <c r="AP63" i="17" s="1"/>
  <c r="AQ40" i="17"/>
  <c r="AP41" i="17"/>
  <c r="F48" i="18"/>
  <c r="C48" i="18"/>
  <c r="C34" i="18"/>
  <c r="F29" i="11"/>
  <c r="F30" i="11" s="1"/>
  <c r="C3" i="9"/>
  <c r="E6" i="2"/>
  <c r="E5" i="2" s="1"/>
  <c r="B23" i="10"/>
  <c r="B22" i="10"/>
  <c r="H8" i="17"/>
  <c r="F7" i="18"/>
  <c r="F34" i="18" s="1"/>
  <c r="AR59" i="17" l="1"/>
  <c r="AR62" i="17" s="1"/>
  <c r="AR63" i="17" s="1"/>
  <c r="AQ62" i="17"/>
  <c r="AQ63" i="17" s="1"/>
  <c r="AR40" i="17"/>
  <c r="AR41" i="17" s="1"/>
  <c r="AQ41" i="17"/>
  <c r="AR45" i="17"/>
  <c r="AR46" i="17" s="1"/>
  <c r="AR47" i="17" s="1"/>
  <c r="AQ46" i="17"/>
  <c r="AQ47" i="17" s="1"/>
  <c r="I8" i="17"/>
  <c r="G7" i="18"/>
  <c r="G34" i="18" s="1"/>
  <c r="C10" i="9"/>
  <c r="C15" i="9"/>
  <c r="B13" i="10"/>
  <c r="B17" i="10" s="1"/>
  <c r="E16" i="9" l="1"/>
  <c r="B20" i="12"/>
  <c r="F39" i="9"/>
  <c r="F25" i="9"/>
  <c r="F22" i="9"/>
  <c r="F20" i="9"/>
  <c r="F31" i="9"/>
  <c r="F21" i="9"/>
  <c r="F28" i="9"/>
  <c r="F19" i="9"/>
  <c r="F30" i="9"/>
  <c r="F34" i="9"/>
  <c r="F16" i="9"/>
  <c r="F17" i="9"/>
  <c r="F35" i="9"/>
  <c r="F37" i="9"/>
  <c r="F36" i="9"/>
  <c r="F26" i="9"/>
  <c r="F29" i="9"/>
  <c r="F38" i="9"/>
  <c r="H20" i="22"/>
  <c r="H18" i="22" s="1"/>
  <c r="F27" i="9"/>
  <c r="F24" i="9"/>
  <c r="F23" i="9"/>
  <c r="F32" i="9"/>
  <c r="F33" i="9"/>
  <c r="F18" i="9"/>
  <c r="H7" i="18"/>
  <c r="H34" i="18" s="1"/>
  <c r="J8" i="17"/>
  <c r="K8" i="17" l="1"/>
  <c r="J7" i="18" s="1"/>
  <c r="J34" i="18" s="1"/>
  <c r="I7" i="18"/>
  <c r="I34" i="18" s="1"/>
  <c r="E5" i="12"/>
  <c r="F5" i="12" s="1"/>
  <c r="G5" i="12" s="1"/>
  <c r="E7" i="12"/>
  <c r="F7" i="12" s="1"/>
  <c r="G7" i="12" s="1"/>
  <c r="E9" i="12"/>
  <c r="F9" i="12" s="1"/>
  <c r="G9" i="12" s="1"/>
  <c r="E11" i="12"/>
  <c r="F11" i="12" s="1"/>
  <c r="G11" i="12" s="1"/>
  <c r="E13" i="12"/>
  <c r="F13" i="12" s="1"/>
  <c r="G13" i="12" s="1"/>
  <c r="E15" i="12"/>
  <c r="F15" i="12" s="1"/>
  <c r="G15" i="12" s="1"/>
  <c r="E6" i="12"/>
  <c r="F6" i="12" s="1"/>
  <c r="G6" i="12" s="1"/>
  <c r="E8" i="12"/>
  <c r="F8" i="12" s="1"/>
  <c r="G8" i="12" s="1"/>
  <c r="E10" i="12"/>
  <c r="F10" i="12" s="1"/>
  <c r="G10" i="12" s="1"/>
  <c r="E12" i="12"/>
  <c r="F12" i="12" s="1"/>
  <c r="G12" i="12" s="1"/>
  <c r="E14" i="12"/>
  <c r="F14" i="12" s="1"/>
  <c r="G14" i="12" s="1"/>
  <c r="F40" i="9"/>
  <c r="D16" i="9"/>
  <c r="B13" i="8"/>
  <c r="C14" i="10" l="1"/>
  <c r="C16" i="9"/>
  <c r="C15" i="10"/>
  <c r="B15" i="8"/>
  <c r="G16" i="12"/>
  <c r="E17" i="9" l="1"/>
  <c r="B21" i="12"/>
  <c r="C23" i="12" s="1"/>
  <c r="I5" i="12"/>
  <c r="I13" i="12"/>
  <c r="K13" i="12" s="1"/>
  <c r="I10" i="12"/>
  <c r="K10" i="12" s="1"/>
  <c r="I7" i="12"/>
  <c r="K7" i="12" s="1"/>
  <c r="I12" i="12"/>
  <c r="K12" i="12" s="1"/>
  <c r="I8" i="12"/>
  <c r="K8" i="12" s="1"/>
  <c r="I15" i="12"/>
  <c r="K15" i="12" s="1"/>
  <c r="I9" i="12"/>
  <c r="K9" i="12" s="1"/>
  <c r="I6" i="12"/>
  <c r="K6" i="12" s="1"/>
  <c r="I14" i="12"/>
  <c r="K14" i="12" s="1"/>
  <c r="I11" i="12"/>
  <c r="K11" i="12" s="1"/>
  <c r="B16" i="8"/>
  <c r="C17" i="10"/>
  <c r="C19" i="10" l="1"/>
  <c r="I16" i="12"/>
  <c r="K5" i="12"/>
  <c r="K16" i="12" s="1"/>
  <c r="B17" i="8"/>
  <c r="C13" i="8"/>
  <c r="D17" i="9"/>
  <c r="D14" i="10" l="1"/>
  <c r="C17" i="9"/>
  <c r="D15" i="10"/>
  <c r="C15" i="8"/>
  <c r="B18" i="8"/>
  <c r="B19" i="8"/>
  <c r="E18" i="9" l="1"/>
  <c r="C16" i="8"/>
  <c r="C17" i="8" s="1"/>
  <c r="D17" i="10"/>
  <c r="C19" i="8" l="1"/>
  <c r="C18" i="8"/>
  <c r="D19" i="10"/>
  <c r="D13" i="8"/>
  <c r="D18" i="9"/>
  <c r="E15" i="10" l="1"/>
  <c r="C21" i="18" s="1"/>
  <c r="D15" i="8"/>
  <c r="E14" i="10"/>
  <c r="E17" i="10" s="1"/>
  <c r="D20" i="17"/>
  <c r="C18" i="9"/>
  <c r="D6" i="17" l="1"/>
  <c r="D23" i="17"/>
  <c r="D24" i="17" s="1"/>
  <c r="E19" i="9"/>
  <c r="E19" i="10"/>
  <c r="D16" i="8"/>
  <c r="D18" i="17" s="1"/>
  <c r="D21" i="17" s="1"/>
  <c r="C15" i="18"/>
  <c r="C6" i="18" l="1"/>
  <c r="D25" i="17"/>
  <c r="C14" i="18" s="1"/>
  <c r="C8" i="18"/>
  <c r="D9" i="17"/>
  <c r="E13" i="8"/>
  <c r="D19" i="9"/>
  <c r="D17" i="8"/>
  <c r="C29" i="18" l="1"/>
  <c r="C35" i="18"/>
  <c r="F14" i="10"/>
  <c r="C19" i="9"/>
  <c r="C5" i="18"/>
  <c r="D15" i="17"/>
  <c r="C12" i="18" s="1"/>
  <c r="C36" i="18" s="1"/>
  <c r="F15" i="10"/>
  <c r="E15" i="8"/>
  <c r="D19" i="8"/>
  <c r="D28" i="17"/>
  <c r="D18" i="8"/>
  <c r="F17" i="10" l="1"/>
  <c r="F19" i="10" s="1"/>
  <c r="C41" i="18"/>
  <c r="C27" i="18"/>
  <c r="C28" i="18"/>
  <c r="C30" i="18"/>
  <c r="E16" i="8"/>
  <c r="E17" i="8" s="1"/>
  <c r="E18" i="8" s="1"/>
  <c r="E20" i="9"/>
  <c r="C11" i="18"/>
  <c r="E29" i="17"/>
  <c r="D30" i="17"/>
  <c r="C9" i="18" l="1"/>
  <c r="C40" i="18" s="1"/>
  <c r="D31" i="17"/>
  <c r="F13" i="8"/>
  <c r="D20" i="9"/>
  <c r="E19" i="8"/>
  <c r="C47" i="18"/>
  <c r="C46" i="18"/>
  <c r="C20" i="18"/>
  <c r="C44" i="18"/>
  <c r="C45" i="18" l="1"/>
  <c r="F15" i="8"/>
  <c r="G15" i="10"/>
  <c r="G14" i="10"/>
  <c r="C20" i="9"/>
  <c r="G17" i="10" l="1"/>
  <c r="E21" i="9"/>
  <c r="F16" i="8"/>
  <c r="F17" i="8" s="1"/>
  <c r="G13" i="8" l="1"/>
  <c r="D21" i="9"/>
  <c r="F19" i="8"/>
  <c r="F18" i="8"/>
  <c r="G19" i="10"/>
  <c r="H14" i="10" l="1"/>
  <c r="E20" i="17"/>
  <c r="C21" i="9"/>
  <c r="H15" i="10"/>
  <c r="D21" i="18" s="1"/>
  <c r="G15" i="8"/>
  <c r="G16" i="8" l="1"/>
  <c r="E18" i="17" s="1"/>
  <c r="E21" i="17" s="1"/>
  <c r="D15" i="18"/>
  <c r="C22" i="9"/>
  <c r="E22" i="9"/>
  <c r="H13" i="8" s="1"/>
  <c r="E23" i="17"/>
  <c r="E24" i="17" s="1"/>
  <c r="D22" i="9"/>
  <c r="H17" i="10"/>
  <c r="E6" i="17" l="1"/>
  <c r="H19" i="10"/>
  <c r="E23" i="9"/>
  <c r="I13" i="8" s="1"/>
  <c r="D23" i="9"/>
  <c r="J14" i="10" s="1"/>
  <c r="I14" i="10"/>
  <c r="E25" i="17"/>
  <c r="D14" i="18" s="1"/>
  <c r="D6" i="18"/>
  <c r="I15" i="10"/>
  <c r="H15" i="8"/>
  <c r="G17" i="8"/>
  <c r="C23" i="9" l="1"/>
  <c r="E24" i="9" s="1"/>
  <c r="J13" i="8" s="1"/>
  <c r="G19" i="8"/>
  <c r="E28" i="17"/>
  <c r="G18" i="8"/>
  <c r="D24" i="9"/>
  <c r="C24" i="9" s="1"/>
  <c r="H16" i="8"/>
  <c r="H17" i="8" s="1"/>
  <c r="I17" i="10"/>
  <c r="I19" i="10" s="1"/>
  <c r="J19" i="10" s="1"/>
  <c r="J15" i="10"/>
  <c r="I15" i="8"/>
  <c r="J17" i="10"/>
  <c r="D8" i="18"/>
  <c r="E9" i="17"/>
  <c r="H19" i="8" l="1"/>
  <c r="F23" i="17"/>
  <c r="F24" i="17" s="1"/>
  <c r="D25" i="9"/>
  <c r="D5" i="18"/>
  <c r="E15" i="17"/>
  <c r="D12" i="18" s="1"/>
  <c r="H18" i="8"/>
  <c r="D35" i="18"/>
  <c r="D29" i="18"/>
  <c r="K14" i="10"/>
  <c r="F20" i="17"/>
  <c r="D11" i="18"/>
  <c r="E30" i="17"/>
  <c r="F29" i="17"/>
  <c r="I16" i="8"/>
  <c r="K15" i="10"/>
  <c r="E21" i="18" s="1"/>
  <c r="J15" i="8"/>
  <c r="E15" i="18" s="1"/>
  <c r="J16" i="8" l="1"/>
  <c r="F18" i="17" s="1"/>
  <c r="F21" i="17" s="1"/>
  <c r="I17" i="8"/>
  <c r="D44" i="18"/>
  <c r="D20" i="18"/>
  <c r="D46" i="18"/>
  <c r="D47" i="18"/>
  <c r="L14" i="10"/>
  <c r="E25" i="9"/>
  <c r="K13" i="8" s="1"/>
  <c r="D9" i="18"/>
  <c r="D40" i="18" s="1"/>
  <c r="E31" i="17"/>
  <c r="D28" i="18"/>
  <c r="D27" i="18"/>
  <c r="D30" i="18"/>
  <c r="I18" i="8"/>
  <c r="K17" i="10"/>
  <c r="D36" i="18"/>
  <c r="D41" i="18"/>
  <c r="C25" i="9"/>
  <c r="J18" i="8" l="1"/>
  <c r="J17" i="8"/>
  <c r="J19" i="8" s="1"/>
  <c r="D45" i="18"/>
  <c r="F25" i="17"/>
  <c r="E14" i="18" s="1"/>
  <c r="E6" i="18"/>
  <c r="I19" i="8"/>
  <c r="F28" i="17"/>
  <c r="K19" i="10"/>
  <c r="F6" i="17"/>
  <c r="L15" i="10"/>
  <c r="F21" i="18" s="1"/>
  <c r="K15" i="8"/>
  <c r="D26" i="9"/>
  <c r="C26" i="9" s="1"/>
  <c r="L17" i="10"/>
  <c r="G29" i="17" l="1"/>
  <c r="F30" i="17"/>
  <c r="E11" i="18"/>
  <c r="M14" i="10"/>
  <c r="E26" i="9"/>
  <c r="L13" i="8" s="1"/>
  <c r="E8" i="18"/>
  <c r="F9" i="17"/>
  <c r="C27" i="9"/>
  <c r="D27" i="9"/>
  <c r="G20" i="17" s="1"/>
  <c r="K16" i="8"/>
  <c r="K17" i="8" s="1"/>
  <c r="L19" i="10"/>
  <c r="F15" i="17" l="1"/>
  <c r="E12" i="18" s="1"/>
  <c r="E5" i="18"/>
  <c r="N14" i="10"/>
  <c r="E27" i="9"/>
  <c r="M13" i="8" s="1"/>
  <c r="E35" i="18"/>
  <c r="E29" i="18"/>
  <c r="E47" i="18"/>
  <c r="E20" i="18"/>
  <c r="E44" i="18"/>
  <c r="E46" i="18"/>
  <c r="K19" i="8"/>
  <c r="K18" i="8"/>
  <c r="E9" i="18"/>
  <c r="E40" i="18" s="1"/>
  <c r="F31" i="17"/>
  <c r="G23" i="17"/>
  <c r="G24" i="17" s="1"/>
  <c r="D28" i="9"/>
  <c r="M15" i="10"/>
  <c r="M17" i="10" s="1"/>
  <c r="L15" i="8"/>
  <c r="E45" i="18" l="1"/>
  <c r="M19" i="10"/>
  <c r="O14" i="10"/>
  <c r="E28" i="9"/>
  <c r="N13" i="8" s="1"/>
  <c r="N15" i="10"/>
  <c r="M15" i="8"/>
  <c r="E27" i="18"/>
  <c r="E30" i="18"/>
  <c r="E28" i="18"/>
  <c r="L16" i="8"/>
  <c r="L17" i="8"/>
  <c r="L18" i="8" s="1"/>
  <c r="C28" i="9"/>
  <c r="N17" i="10"/>
  <c r="G6" i="17" s="1"/>
  <c r="E36" i="18"/>
  <c r="E41" i="18"/>
  <c r="G9" i="17" l="1"/>
  <c r="F8" i="18"/>
  <c r="C29" i="9"/>
  <c r="D29" i="9"/>
  <c r="M16" i="8"/>
  <c r="M17" i="8" s="1"/>
  <c r="N19" i="10"/>
  <c r="L19" i="8"/>
  <c r="G18" i="17"/>
  <c r="G21" i="17" s="1"/>
  <c r="F15" i="18"/>
  <c r="N15" i="8"/>
  <c r="O15" i="10"/>
  <c r="O17" i="10" s="1"/>
  <c r="M19" i="8" l="1"/>
  <c r="M18" i="8"/>
  <c r="G28" i="17"/>
  <c r="D30" i="9"/>
  <c r="G25" i="17"/>
  <c r="F14" i="18" s="1"/>
  <c r="F6" i="18"/>
  <c r="F29" i="18" s="1"/>
  <c r="F35" i="18"/>
  <c r="N16" i="8"/>
  <c r="O19" i="10"/>
  <c r="Q14" i="10"/>
  <c r="P14" i="10"/>
  <c r="E29" i="9"/>
  <c r="O13" i="8" s="1"/>
  <c r="H20" i="17"/>
  <c r="F5" i="18"/>
  <c r="G15" i="17"/>
  <c r="F12" i="18" s="1"/>
  <c r="F36" i="18" s="1"/>
  <c r="F30" i="18" l="1"/>
  <c r="F28" i="18"/>
  <c r="F27" i="18"/>
  <c r="N17" i="8"/>
  <c r="F41" i="18"/>
  <c r="F11" i="18"/>
  <c r="H29" i="17"/>
  <c r="G30" i="17"/>
  <c r="R14" i="10"/>
  <c r="E30" i="9"/>
  <c r="P13" i="8" s="1"/>
  <c r="N18" i="8"/>
  <c r="P15" i="10"/>
  <c r="P17" i="10" s="1"/>
  <c r="O15" i="8"/>
  <c r="C30" i="9"/>
  <c r="P19" i="10" l="1"/>
  <c r="H23" i="17"/>
  <c r="H24" i="17" s="1"/>
  <c r="D31" i="9"/>
  <c r="C31" i="9" s="1"/>
  <c r="G31" i="17"/>
  <c r="F9" i="18"/>
  <c r="F40" i="18" s="1"/>
  <c r="N19" i="8"/>
  <c r="O16" i="8"/>
  <c r="Q15" i="10"/>
  <c r="Q17" i="10" s="1"/>
  <c r="H6" i="17" s="1"/>
  <c r="P15" i="8"/>
  <c r="F44" i="18"/>
  <c r="F47" i="18"/>
  <c r="F20" i="18"/>
  <c r="F45" i="18"/>
  <c r="F46" i="18"/>
  <c r="G8" i="18" l="1"/>
  <c r="H9" i="17"/>
  <c r="Q19" i="10"/>
  <c r="P16" i="8"/>
  <c r="H18" i="17" s="1"/>
  <c r="H21" i="17" s="1"/>
  <c r="P17" i="8"/>
  <c r="P19" i="8" s="1"/>
  <c r="D32" i="9"/>
  <c r="G15" i="18"/>
  <c r="O17" i="8"/>
  <c r="S14" i="10"/>
  <c r="E31" i="9"/>
  <c r="Q13" i="8" s="1"/>
  <c r="H25" i="17" l="1"/>
  <c r="G14" i="18" s="1"/>
  <c r="G6" i="18"/>
  <c r="T14" i="10"/>
  <c r="E32" i="9"/>
  <c r="R13" i="8" s="1"/>
  <c r="C32" i="9"/>
  <c r="G5" i="18"/>
  <c r="H15" i="17"/>
  <c r="G12" i="18" s="1"/>
  <c r="G36" i="18" s="1"/>
  <c r="O19" i="8"/>
  <c r="H28" i="17"/>
  <c r="O18" i="8"/>
  <c r="P18" i="8" s="1"/>
  <c r="R15" i="10"/>
  <c r="R17" i="10" s="1"/>
  <c r="Q15" i="8"/>
  <c r="G35" i="18"/>
  <c r="G29" i="18"/>
  <c r="R15" i="8" l="1"/>
  <c r="S15" i="10"/>
  <c r="S17" i="10" s="1"/>
  <c r="I29" i="17"/>
  <c r="G11" i="18"/>
  <c r="H30" i="17"/>
  <c r="D33" i="9"/>
  <c r="C33" i="9" s="1"/>
  <c r="Q16" i="8"/>
  <c r="Q17" i="8"/>
  <c r="G27" i="18"/>
  <c r="G30" i="18"/>
  <c r="G28" i="18"/>
  <c r="R19" i="10"/>
  <c r="S19" i="10" s="1"/>
  <c r="G41" i="18"/>
  <c r="I23" i="17" l="1"/>
  <c r="I24" i="17" s="1"/>
  <c r="D34" i="9"/>
  <c r="Q19" i="8"/>
  <c r="H31" i="17"/>
  <c r="G9" i="18"/>
  <c r="G40" i="18" s="1"/>
  <c r="R16" i="8"/>
  <c r="R17" i="8" s="1"/>
  <c r="R19" i="8" s="1"/>
  <c r="U14" i="10"/>
  <c r="E33" i="9"/>
  <c r="S13" i="8" s="1"/>
  <c r="I20" i="17"/>
  <c r="G47" i="18"/>
  <c r="G44" i="18"/>
  <c r="G20" i="18"/>
  <c r="G46" i="18"/>
  <c r="G45" i="18"/>
  <c r="Q18" i="8"/>
  <c r="R18" i="8" l="1"/>
  <c r="T15" i="10"/>
  <c r="T17" i="10" s="1"/>
  <c r="S15" i="8"/>
  <c r="V14" i="10"/>
  <c r="E34" i="9"/>
  <c r="T13" i="8" s="1"/>
  <c r="C34" i="9"/>
  <c r="S16" i="8" l="1"/>
  <c r="I18" i="17" s="1"/>
  <c r="I21" i="17" s="1"/>
  <c r="H15" i="18"/>
  <c r="I6" i="17"/>
  <c r="T19" i="10"/>
  <c r="T15" i="8"/>
  <c r="U15" i="10"/>
  <c r="U17" i="10" s="1"/>
  <c r="C35" i="9"/>
  <c r="D35" i="9"/>
  <c r="D36" i="9" l="1"/>
  <c r="H6" i="18"/>
  <c r="I25" i="17"/>
  <c r="H14" i="18" s="1"/>
  <c r="I9" i="17"/>
  <c r="H8" i="18"/>
  <c r="T16" i="8"/>
  <c r="W14" i="10"/>
  <c r="E35" i="9"/>
  <c r="U13" i="8" s="1"/>
  <c r="U19" i="10"/>
  <c r="S17" i="8"/>
  <c r="S19" i="8" l="1"/>
  <c r="I28" i="17"/>
  <c r="S18" i="8"/>
  <c r="H29" i="18"/>
  <c r="H35" i="18"/>
  <c r="X14" i="10"/>
  <c r="E36" i="9"/>
  <c r="V13" i="8" s="1"/>
  <c r="U15" i="8"/>
  <c r="V15" i="10"/>
  <c r="V17" i="10" s="1"/>
  <c r="I15" i="17"/>
  <c r="H12" i="18" s="1"/>
  <c r="H36" i="18" s="1"/>
  <c r="H5" i="18"/>
  <c r="J20" i="17"/>
  <c r="T17" i="8"/>
  <c r="C36" i="9"/>
  <c r="H41" i="18" l="1"/>
  <c r="J23" i="17"/>
  <c r="J24" i="17" s="1"/>
  <c r="D37" i="9"/>
  <c r="C37" i="9" s="1"/>
  <c r="V19" i="10"/>
  <c r="T18" i="8"/>
  <c r="H30" i="18"/>
  <c r="H27" i="18"/>
  <c r="H28" i="18"/>
  <c r="I30" i="17"/>
  <c r="J29" i="17"/>
  <c r="H11" i="18"/>
  <c r="T19" i="8"/>
  <c r="U17" i="8"/>
  <c r="U19" i="8" s="1"/>
  <c r="U16" i="8"/>
  <c r="W15" i="10"/>
  <c r="W17" i="10" s="1"/>
  <c r="J6" i="17" s="1"/>
  <c r="V15" i="8"/>
  <c r="I8" i="18" l="1"/>
  <c r="J9" i="17"/>
  <c r="D38" i="9"/>
  <c r="H9" i="18"/>
  <c r="H40" i="18" s="1"/>
  <c r="I31" i="17"/>
  <c r="U18" i="8"/>
  <c r="V16" i="8"/>
  <c r="V17" i="8" s="1"/>
  <c r="I15" i="18"/>
  <c r="W19" i="10"/>
  <c r="Y14" i="10"/>
  <c r="E37" i="9"/>
  <c r="W13" i="8" s="1"/>
  <c r="J18" i="17"/>
  <c r="J21" i="17" s="1"/>
  <c r="H47" i="18"/>
  <c r="H46" i="18"/>
  <c r="H20" i="18"/>
  <c r="H44" i="18"/>
  <c r="H45" i="18" l="1"/>
  <c r="V19" i="8"/>
  <c r="J28" i="17"/>
  <c r="I6" i="18"/>
  <c r="I29" i="18" s="1"/>
  <c r="J25" i="17"/>
  <c r="I14" i="18" s="1"/>
  <c r="Z14" i="10"/>
  <c r="E38" i="9"/>
  <c r="X13" i="8" s="1"/>
  <c r="V18" i="8"/>
  <c r="C38" i="9"/>
  <c r="W15" i="8"/>
  <c r="X15" i="10"/>
  <c r="X17" i="10" s="1"/>
  <c r="I5" i="18"/>
  <c r="J15" i="17"/>
  <c r="I12" i="18" s="1"/>
  <c r="I36" i="18" s="1"/>
  <c r="I35" i="18"/>
  <c r="I41" i="18" l="1"/>
  <c r="X19" i="10"/>
  <c r="I28" i="18"/>
  <c r="I27" i="18"/>
  <c r="I30" i="18"/>
  <c r="W16" i="8"/>
  <c r="Y15" i="10"/>
  <c r="Y17" i="10" s="1"/>
  <c r="X15" i="8"/>
  <c r="I11" i="18"/>
  <c r="J30" i="17"/>
  <c r="K29" i="17"/>
  <c r="D39" i="9"/>
  <c r="Y19" i="10" l="1"/>
  <c r="X16" i="8"/>
  <c r="X17" i="8"/>
  <c r="X19" i="8" s="1"/>
  <c r="E39" i="9"/>
  <c r="D40" i="9"/>
  <c r="K20" i="17"/>
  <c r="I9" i="18"/>
  <c r="I40" i="18" s="1"/>
  <c r="J31" i="17"/>
  <c r="C39" i="9"/>
  <c r="K23" i="17" s="1"/>
  <c r="K24" i="17" s="1"/>
  <c r="I44" i="18"/>
  <c r="I47" i="18"/>
  <c r="I20" i="18"/>
  <c r="I46" i="18"/>
  <c r="W17" i="8"/>
  <c r="I45" i="18" l="1"/>
  <c r="W19" i="8"/>
  <c r="W18" i="8"/>
  <c r="X18" i="8" s="1"/>
  <c r="Y13" i="8"/>
  <c r="E40" i="9"/>
  <c r="Y15" i="8" l="1"/>
  <c r="Z15" i="10"/>
  <c r="Z17" i="10" s="1"/>
  <c r="B21" i="10" l="1"/>
  <c r="B20" i="10"/>
  <c r="K6" i="17"/>
  <c r="Z19" i="10"/>
  <c r="Y16" i="8"/>
  <c r="K18" i="17" s="1"/>
  <c r="K21" i="17" s="1"/>
  <c r="J15" i="18"/>
  <c r="K25" i="17" l="1"/>
  <c r="J14" i="18" s="1"/>
  <c r="J6" i="18"/>
  <c r="Y17" i="8"/>
  <c r="K9" i="17"/>
  <c r="J8" i="18"/>
  <c r="K15" i="17" l="1"/>
  <c r="J12" i="18" s="1"/>
  <c r="J36" i="18" s="1"/>
  <c r="J5" i="18"/>
  <c r="Y19" i="8"/>
  <c r="K28" i="17"/>
  <c r="Y18" i="8"/>
  <c r="J29" i="18"/>
  <c r="J35" i="18"/>
  <c r="J41" i="18"/>
  <c r="J11" i="18" l="1"/>
  <c r="K30" i="17"/>
  <c r="J27" i="18"/>
  <c r="J28" i="18"/>
  <c r="J30" i="18"/>
  <c r="J9" i="18" l="1"/>
  <c r="J40" i="18" s="1"/>
  <c r="K31" i="17"/>
  <c r="J20" i="18"/>
  <c r="J46" i="18"/>
  <c r="J44" i="18"/>
  <c r="J45" i="18"/>
  <c r="J47" i="18"/>
</calcChain>
</file>

<file path=xl/sharedStrings.xml><?xml version="1.0" encoding="utf-8"?>
<sst xmlns="http://schemas.openxmlformats.org/spreadsheetml/2006/main" count="738" uniqueCount="413">
  <si>
    <t>ESTRUCTURA DE LA INVERSION</t>
  </si>
  <si>
    <t>RUBRO</t>
  </si>
  <si>
    <t>VALOR UNITARIO</t>
  </si>
  <si>
    <t>CANT.</t>
  </si>
  <si>
    <t>UNID.</t>
  </si>
  <si>
    <t>COSTO TOTAL</t>
  </si>
  <si>
    <t>I. ACTIVO FIJO</t>
  </si>
  <si>
    <t>A. TANGIBLES</t>
  </si>
  <si>
    <t>Maquinaria y/o Equipos</t>
  </si>
  <si>
    <t>PARRILLA</t>
  </si>
  <si>
    <t>Unidad</t>
  </si>
  <si>
    <t>SET DE CUCHILLOS</t>
  </si>
  <si>
    <t>COCINA INDUSTRIAL</t>
  </si>
  <si>
    <t>CONGELADORA</t>
  </si>
  <si>
    <t>EXHIBIDORA</t>
  </si>
  <si>
    <t>MAQUINA CORTADORA</t>
  </si>
  <si>
    <t>LICUADORA</t>
  </si>
  <si>
    <t>HORNO MICROONDAS</t>
  </si>
  <si>
    <t>LAPTOP</t>
  </si>
  <si>
    <t>IMPRESORA</t>
  </si>
  <si>
    <t>Muebles y enseres</t>
  </si>
  <si>
    <t>MESAS</t>
  </si>
  <si>
    <t>SILLAS DE MADERA</t>
  </si>
  <si>
    <t>MOSTRADOR</t>
  </si>
  <si>
    <t>SILLA DE MOSTRADOR</t>
  </si>
  <si>
    <t>Mesa de Trabajo</t>
  </si>
  <si>
    <t>PLATOS DE ENSERES</t>
  </si>
  <si>
    <t>Unidades</t>
  </si>
  <si>
    <t>UTENSILIOS -TENEDOR</t>
  </si>
  <si>
    <t>UTENSILIOS -CUCHILLO</t>
  </si>
  <si>
    <t>MESA DE COCINA</t>
  </si>
  <si>
    <t>PlATOS PARA ENSALADA</t>
  </si>
  <si>
    <t>PLATITOS PARA CREMAS</t>
  </si>
  <si>
    <t>Otros</t>
  </si>
  <si>
    <t>Extintor</t>
  </si>
  <si>
    <t>Botiquin</t>
  </si>
  <si>
    <t>TOTAL TANGIBLES</t>
  </si>
  <si>
    <t>B. INTANGIBLES</t>
  </si>
  <si>
    <t>COMPROBANTES DE PAGO</t>
  </si>
  <si>
    <t>millar</t>
  </si>
  <si>
    <t>LIC. DE FUNCIONAMIENTO</t>
  </si>
  <si>
    <t>documento</t>
  </si>
  <si>
    <t>LIC. DE PUBLICIDAD</t>
  </si>
  <si>
    <t>SUNAT (GRATUITO)</t>
  </si>
  <si>
    <t>ELABORACION DE PLAN DE NEGOCIOS</t>
  </si>
  <si>
    <t>SEPARACION DE NOMBRE COMERCIAL</t>
  </si>
  <si>
    <t>ELABORACION DE ESTATUTO</t>
  </si>
  <si>
    <t>NOTARIA</t>
  </si>
  <si>
    <t>INSCRIPCION DE REGUSTROS PUBLICOS</t>
  </si>
  <si>
    <t>DEFENSA CIVIL</t>
  </si>
  <si>
    <t>EXTINTOR</t>
  </si>
  <si>
    <t>BOTIQUIN</t>
  </si>
  <si>
    <t>TOTAL INTANGIBLES</t>
  </si>
  <si>
    <t>TOTAL ACTIVO FIJO</t>
  </si>
  <si>
    <t>II. CAPITAL DE TRABAJO</t>
  </si>
  <si>
    <t>Mano de obra</t>
  </si>
  <si>
    <t>Gastos Indirectos</t>
  </si>
  <si>
    <t>Isumos</t>
  </si>
  <si>
    <t>TOTAL CAPITAL DE TRABAJO</t>
  </si>
  <si>
    <t>TOTAL DE INVERSION</t>
  </si>
  <si>
    <t>FUENTE: ELABORACION PROPIA</t>
  </si>
  <si>
    <t>FUENTES DE FINANCIAMIENTO</t>
  </si>
  <si>
    <t>FUENTE</t>
  </si>
  <si>
    <t>DESTINO</t>
  </si>
  <si>
    <t>INVERSION FIJA</t>
  </si>
  <si>
    <t>CAPITAL DE TRABAJO</t>
  </si>
  <si>
    <t>TOTAL</t>
  </si>
  <si>
    <t>%</t>
  </si>
  <si>
    <t>APORTE PROPIO</t>
  </si>
  <si>
    <t>PRESTAMO</t>
  </si>
  <si>
    <t>MONTO</t>
  </si>
  <si>
    <t>TEA</t>
  </si>
  <si>
    <t>PLAZO</t>
  </si>
  <si>
    <t>SEG DESG</t>
  </si>
  <si>
    <t>TEM</t>
  </si>
  <si>
    <t>TEM SEG DES</t>
  </si>
  <si>
    <t>TEM TOTAL</t>
  </si>
  <si>
    <t>CUOTA</t>
  </si>
  <si>
    <t>CRONOGRAMA DE PAGOS</t>
  </si>
  <si>
    <t>MES</t>
  </si>
  <si>
    <t>SALDO</t>
  </si>
  <si>
    <t>AMORT.</t>
  </si>
  <si>
    <t>INTERES</t>
  </si>
  <si>
    <t>PROYECCION DE SERVICIOS REALIZADOS</t>
  </si>
  <si>
    <t>SERVICIO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</si>
  <si>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</si>
  <si>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</si>
  <si>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</si>
  <si>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</si>
  <si>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</si>
  <si>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</si>
  <si>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</si>
  <si>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</si>
  <si>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</si>
  <si>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</si>
  <si>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</si>
  <si>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</si>
  <si>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</si>
  <si>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</si>
  <si>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</si>
  <si>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</si>
  <si>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</si>
  <si>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</si>
  <si>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</si>
  <si>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</si>
  <si>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</si>
  <si>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</si>
  <si>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</si>
  <si>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</si>
  <si>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CHANCHO A LA PARRILLA</t>
  </si>
  <si>
    <t>CORDERO  A  LA PARRILLA</t>
  </si>
  <si>
    <t>RES A LA PARRILLA</t>
  </si>
  <si>
    <t>CHORI PAPA</t>
  </si>
  <si>
    <t>LOMO FINO A LA PARRILLA</t>
  </si>
  <si>
    <t>POLLO A LA PARRILLA</t>
  </si>
  <si>
    <t>COSTILLA DE CORDERO</t>
  </si>
  <si>
    <t>COSTILLA DE CHANCHO A LA PARRILLA</t>
  </si>
  <si>
    <t>POLLO BROASTER</t>
  </si>
  <si>
    <t>SALCHIPAPA</t>
  </si>
  <si>
    <t>MOLLEJITAS</t>
  </si>
  <si>
    <t>PROYECCION DE VENTAS</t>
  </si>
  <si>
    <t>P. U.</t>
  </si>
  <si>
    <t>TOTAL VENTAS</t>
  </si>
  <si>
    <t>MANO DE OBRA DIRECTA</t>
  </si>
  <si>
    <t>SNP</t>
  </si>
  <si>
    <t>Aporte Obligt</t>
  </si>
  <si>
    <t>Comision</t>
  </si>
  <si>
    <t>Comision Mixta</t>
  </si>
  <si>
    <t>APORTACION</t>
  </si>
  <si>
    <t>DESCRIPCION</t>
  </si>
  <si>
    <t>CANTIDAD</t>
  </si>
  <si>
    <t>SUELDO MES</t>
  </si>
  <si>
    <t xml:space="preserve">Total Dscto </t>
  </si>
  <si>
    <t>Neto A pagar</t>
  </si>
  <si>
    <t>ESSALUD 9%</t>
  </si>
  <si>
    <t>TOTAL GASTO</t>
  </si>
  <si>
    <t>Cocinero</t>
  </si>
  <si>
    <t>Ayudante de cocina</t>
  </si>
  <si>
    <t>Mozos</t>
  </si>
  <si>
    <t>TOTAL PLANILLA</t>
  </si>
  <si>
    <t>APORTES A PAGAR</t>
  </si>
  <si>
    <t>MANO DE OBRA INDIRECTA</t>
  </si>
  <si>
    <t>Administrador</t>
  </si>
  <si>
    <t>TOTAL MANO DE OBRA</t>
  </si>
  <si>
    <t>GASTOS INDIRECTOS</t>
  </si>
  <si>
    <t>Gastos Administrativos</t>
  </si>
  <si>
    <t>Alquiler de local</t>
  </si>
  <si>
    <t>Agua</t>
  </si>
  <si>
    <t>Energia Electrica</t>
  </si>
  <si>
    <t>Celulares</t>
  </si>
  <si>
    <t>Mantenimiento de Local</t>
  </si>
  <si>
    <t>Gastos de venta</t>
  </si>
  <si>
    <t>Merchandising</t>
  </si>
  <si>
    <t>Tarjetas</t>
  </si>
  <si>
    <t>ciento</t>
  </si>
  <si>
    <t>TOTAL COSTOS INDIRECTOS</t>
  </si>
  <si>
    <t>DEPRECIACION DE MAQUINARIA MUEBLES Y ENSERES</t>
  </si>
  <si>
    <t>TASA DE DEPRECIACION</t>
  </si>
  <si>
    <t>VIDA UTIL (MESES)</t>
  </si>
  <si>
    <t>DEPRECIACION MES</t>
  </si>
  <si>
    <t>MAQUINARIA Y EQUIPOS</t>
  </si>
  <si>
    <t>DEPRECIACION MENSUAL</t>
  </si>
  <si>
    <t>PRESUPUESTO DE GASTOS</t>
  </si>
  <si>
    <t>CONCEPTO</t>
  </si>
  <si>
    <t>COSTOS DE PRODUCCION</t>
  </si>
  <si>
    <t>A.- COSTOS DIRECTOS</t>
  </si>
  <si>
    <t>I. INSUMOS USADOS</t>
  </si>
  <si>
    <t>II. MANO DE OBRA DIRECTA</t>
  </si>
  <si>
    <t xml:space="preserve">Sueldos </t>
  </si>
  <si>
    <t>Gratificaciones</t>
  </si>
  <si>
    <t>B.- COSTOS INDIRECTOS</t>
  </si>
  <si>
    <t>GASTOS DE OPERACIÓN</t>
  </si>
  <si>
    <t>A.- GASTOS DE VENTAS</t>
  </si>
  <si>
    <t>B.- GASTOS ADMINISTRACION</t>
  </si>
  <si>
    <t>Planilla de Empleados</t>
  </si>
  <si>
    <t>Depreciación</t>
  </si>
  <si>
    <t>ESTADO DE PÉRDIDAS Y GANANCIAS</t>
  </si>
  <si>
    <t>A. VENTAS NETAS</t>
  </si>
  <si>
    <t>B. COSTOS DE VENTAS</t>
  </si>
  <si>
    <t>Mano de obra directa</t>
  </si>
  <si>
    <t>Costos Indirectos</t>
  </si>
  <si>
    <t>C. UTILIDAD BRUTA</t>
  </si>
  <si>
    <t>Administración</t>
  </si>
  <si>
    <t>Ventas</t>
  </si>
  <si>
    <t>D. UTILIDAD DE OPERACIÓN</t>
  </si>
  <si>
    <t>Gastos Financieros</t>
  </si>
  <si>
    <t>Depreciación equipo</t>
  </si>
  <si>
    <t>E. UTILIDAD ANTES DE IMPUESTOS</t>
  </si>
  <si>
    <t>Impuesto a la Renta</t>
  </si>
  <si>
    <t>UTILIDAD NETA</t>
  </si>
  <si>
    <t>RENTABILIDAD DE VENTAS ((UTILIDAD NETA/INGRESOS)*100)</t>
  </si>
  <si>
    <t>BALANCE GENERAL</t>
  </si>
  <si>
    <t>Estado de Situación Financiera Balance General</t>
  </si>
  <si>
    <t>1ER TRIMESTRE</t>
  </si>
  <si>
    <t>2DO TRIMESTRE</t>
  </si>
  <si>
    <t>3ER TRIMESTRE</t>
  </si>
  <si>
    <t>4TO TRIMESTRE</t>
  </si>
  <si>
    <t>5TO TRIMESTRE</t>
  </si>
  <si>
    <t>6TO TRIMESTRE</t>
  </si>
  <si>
    <t>7MO TRIMESTRE</t>
  </si>
  <si>
    <t>8VO TRIMESTRE</t>
  </si>
  <si>
    <t>ACTIVO/</t>
  </si>
  <si>
    <t>Activo Corriente/</t>
  </si>
  <si>
    <t>1.1.1</t>
  </si>
  <si>
    <t>CyB</t>
  </si>
  <si>
    <t>Caja y Bancos/</t>
  </si>
  <si>
    <t>CxCC</t>
  </si>
  <si>
    <t>Cuentas por Cobrar Comerciales</t>
  </si>
  <si>
    <t>1.1.2</t>
  </si>
  <si>
    <t>Exit</t>
  </si>
  <si>
    <t>Existencias/</t>
  </si>
  <si>
    <t>TOTAL ACTIVO CORRIENTE/</t>
  </si>
  <si>
    <t>1.2.</t>
  </si>
  <si>
    <t>Activo No Corriente/</t>
  </si>
  <si>
    <t>1.2.1</t>
  </si>
  <si>
    <t>IME</t>
  </si>
  <si>
    <t>Inmueble Maquinaria y Eq</t>
  </si>
  <si>
    <t>1.2.2</t>
  </si>
  <si>
    <t>AIN</t>
  </si>
  <si>
    <t>Activos Intangibles (neto)/</t>
  </si>
  <si>
    <t>1.2.3</t>
  </si>
  <si>
    <t>DEPR</t>
  </si>
  <si>
    <t>Depreciacion Acumulada /</t>
  </si>
  <si>
    <t>TOTAL ACTIVO NO CORRIENTE/</t>
  </si>
  <si>
    <t>TOTAL ACTIVO/</t>
  </si>
  <si>
    <t>PASIVO Y PATRIMONIO</t>
  </si>
  <si>
    <t>Pasivo Corriente/</t>
  </si>
  <si>
    <t>2.1.1</t>
  </si>
  <si>
    <t>TribxP</t>
  </si>
  <si>
    <t>Tributos por Pagar</t>
  </si>
  <si>
    <t>2.1.2</t>
  </si>
  <si>
    <t>CPPC</t>
  </si>
  <si>
    <t>Cuentas por Pagar Comerciales/</t>
  </si>
  <si>
    <t>2.1.3</t>
  </si>
  <si>
    <t>CPPER</t>
  </si>
  <si>
    <t>Cuentas por Pagar a Entidades Financieras/</t>
  </si>
  <si>
    <t>TOTAL PASIVO CORRIENTE/</t>
  </si>
  <si>
    <t>Pasivo  No Corriente/</t>
  </si>
  <si>
    <t>2.2.1</t>
  </si>
  <si>
    <t>TOTAL PASIVO NO CORRIENTE/</t>
  </si>
  <si>
    <t>TOTAL PASIVO/</t>
  </si>
  <si>
    <t>PATRIMONIO NETO/</t>
  </si>
  <si>
    <t>2.4.1</t>
  </si>
  <si>
    <t>Capi</t>
  </si>
  <si>
    <t>Capital/</t>
  </si>
  <si>
    <t>2.4.6</t>
  </si>
  <si>
    <t>Util</t>
  </si>
  <si>
    <t>Utilidad del Ejercicio</t>
  </si>
  <si>
    <t>2.4.7</t>
  </si>
  <si>
    <t>ORC</t>
  </si>
  <si>
    <t>Utilidad de Trimestres pasados</t>
  </si>
  <si>
    <t>TOTAL PATRIMONIO NETO/</t>
  </si>
  <si>
    <t>TOTAL PASIVO Y PATRIMONIO NETO/</t>
  </si>
  <si>
    <t>FLUJO ECONÓMICO ‑ FINANCIERO</t>
  </si>
  <si>
    <t>COK</t>
  </si>
  <si>
    <t>INGRESOS</t>
  </si>
  <si>
    <t>COSTOS</t>
  </si>
  <si>
    <t>Inversión</t>
  </si>
  <si>
    <t>Costos de Producción (1)</t>
  </si>
  <si>
    <t>Gastos de Ventas</t>
  </si>
  <si>
    <t>Gastos Administrativos (2)</t>
  </si>
  <si>
    <t>FLUJO ECONÓMICO</t>
  </si>
  <si>
    <t>Préstamo</t>
  </si>
  <si>
    <t>Amortización</t>
  </si>
  <si>
    <t>Intereses</t>
  </si>
  <si>
    <t>FLUJO FINANCIERO</t>
  </si>
  <si>
    <t>Aporte propio</t>
  </si>
  <si>
    <t>Saldo acumulado</t>
  </si>
  <si>
    <t>TIRF</t>
  </si>
  <si>
    <t>VANF</t>
  </si>
  <si>
    <t xml:space="preserve">TIR </t>
  </si>
  <si>
    <t xml:space="preserve">VAN </t>
  </si>
  <si>
    <t>FE</t>
  </si>
  <si>
    <t>FA</t>
  </si>
  <si>
    <t>FEA</t>
  </si>
  <si>
    <t>EVALUACION COSTO - BENEFICIO</t>
  </si>
  <si>
    <t>MESES</t>
  </si>
  <si>
    <t>INGRESOS ACTUALIZADOS</t>
  </si>
  <si>
    <t>COSTOS ACTUALIZADOS</t>
  </si>
  <si>
    <t>B/C</t>
  </si>
  <si>
    <t xml:space="preserve">Es la division de las actualizaciones de los ingresos y costos del proyecto </t>
  </si>
  <si>
    <t>si el resultado es mayor a 1 el proyecto es viable.</t>
  </si>
  <si>
    <t>COSTOS DE INSUMOS</t>
  </si>
  <si>
    <t>Costo unitario</t>
  </si>
  <si>
    <t>chancho</t>
  </si>
  <si>
    <t>400 g</t>
  </si>
  <si>
    <t>POLLO</t>
  </si>
  <si>
    <t>500G</t>
  </si>
  <si>
    <t>papa</t>
  </si>
  <si>
    <t>200g</t>
  </si>
  <si>
    <t>chorizo</t>
  </si>
  <si>
    <t>100 g</t>
  </si>
  <si>
    <t>lechuga</t>
  </si>
  <si>
    <t>tomate</t>
  </si>
  <si>
    <t>pepinillo</t>
  </si>
  <si>
    <t>aderezo</t>
  </si>
  <si>
    <t>CARBON</t>
  </si>
  <si>
    <t>100g</t>
  </si>
  <si>
    <t>COSTO UNITARIO ADM</t>
  </si>
  <si>
    <t>MANO DE OBRA</t>
  </si>
  <si>
    <t>Cordero</t>
  </si>
  <si>
    <t>RES</t>
  </si>
  <si>
    <t>carbon</t>
  </si>
  <si>
    <t>lomo fino</t>
  </si>
  <si>
    <t>300g</t>
  </si>
  <si>
    <t>costos unitario</t>
  </si>
  <si>
    <t>costilla de cordero</t>
  </si>
  <si>
    <t>costilla de chancho</t>
  </si>
  <si>
    <t>pollo</t>
  </si>
  <si>
    <t>medio kilo</t>
  </si>
  <si>
    <t>papas</t>
  </si>
  <si>
    <t>salchichas</t>
  </si>
  <si>
    <t>2 unidades</t>
  </si>
  <si>
    <t>mollejitas</t>
  </si>
  <si>
    <t>Linea de Comercializacion</t>
  </si>
  <si>
    <t>PLATOS AL MES (Unid)</t>
  </si>
  <si>
    <t>% Participacion</t>
  </si>
  <si>
    <t xml:space="preserve">Precio Venta </t>
  </si>
  <si>
    <t xml:space="preserve">Costo Variable Unitario    </t>
  </si>
  <si>
    <t>Margen</t>
  </si>
  <si>
    <t>Margen Ponderado</t>
  </si>
  <si>
    <t>PUNTO DE EQUILIBRIO en Unidades</t>
  </si>
  <si>
    <t>PUNTO DE EQUILIBRIO en soles</t>
  </si>
  <si>
    <t>Nuevos Soles</t>
  </si>
  <si>
    <t>COSTOS FIJOS TOTALES</t>
  </si>
  <si>
    <t>PE=</t>
  </si>
  <si>
    <t>UNIDADES</t>
  </si>
  <si>
    <t>Punto de equilibrio</t>
  </si>
  <si>
    <t>El Punto de Equilibro del proyecto es aquel nivel de ventas que iguala al total de los costos, es decir, es aquel punto donde no existen ganancias ni pérdidas.</t>
  </si>
  <si>
    <t>En el punto de equilibrio el proyecto cubre todos sus costos, tanto los fijos como los variables.</t>
  </si>
  <si>
    <t>Como se puede apreciar el punto de equilibrio es 700 unidades que equivalen a una venta de $17,500.00.</t>
  </si>
  <si>
    <t>RATIOS FINANCIEROS</t>
  </si>
  <si>
    <t>CUENTAS DE LOS ESTADOS FINANCIEROS DE DAY SPA</t>
  </si>
  <si>
    <t>ABREV</t>
  </si>
  <si>
    <t>PRINCIPALES CTAS</t>
  </si>
  <si>
    <t>AC</t>
  </si>
  <si>
    <t>Activo Corriente</t>
  </si>
  <si>
    <t>PC</t>
  </si>
  <si>
    <t>Pasivo Corriente</t>
  </si>
  <si>
    <t>Existencias</t>
  </si>
  <si>
    <t>Caja y Bancos</t>
  </si>
  <si>
    <t>Patri</t>
  </si>
  <si>
    <t>Patrimonio</t>
  </si>
  <si>
    <t>PNC</t>
  </si>
  <si>
    <t>Pasivo No Corriente</t>
  </si>
  <si>
    <t>UN</t>
  </si>
  <si>
    <t>Utilidad Neta</t>
  </si>
  <si>
    <t>TA</t>
  </si>
  <si>
    <t>Total Activo</t>
  </si>
  <si>
    <t>TP</t>
  </si>
  <si>
    <t>Total Pasivo</t>
  </si>
  <si>
    <t>UB</t>
  </si>
  <si>
    <t>Utilidad Bruta</t>
  </si>
  <si>
    <t>VN</t>
  </si>
  <si>
    <t>Ventas Netas</t>
  </si>
  <si>
    <t>CPCC</t>
  </si>
  <si>
    <t>CV</t>
  </si>
  <si>
    <t>Costo de Ventas</t>
  </si>
  <si>
    <t>AF</t>
  </si>
  <si>
    <t>Activo fijo</t>
  </si>
  <si>
    <t>UAI</t>
  </si>
  <si>
    <t>Utilidad antes de los impuestos</t>
  </si>
  <si>
    <t>GF</t>
  </si>
  <si>
    <t>Gastos financieros</t>
  </si>
  <si>
    <t>GO</t>
  </si>
  <si>
    <t>Gastos operacionales</t>
  </si>
  <si>
    <t>CS</t>
  </si>
  <si>
    <t>Capital social</t>
  </si>
  <si>
    <t>1. RATIOS DE LIQUIDEZ</t>
  </si>
  <si>
    <t>Liquidez General (AC/PC)</t>
  </si>
  <si>
    <t>Prueba Acida ( (AC-EXIS)/PC)</t>
  </si>
  <si>
    <t>Prueba Defensiva (CB/PC)</t>
  </si>
  <si>
    <t>Capital de Trabajo (AC-PC)</t>
  </si>
  <si>
    <t>2. RATIOS DE GESTION O ACTIVIDAD</t>
  </si>
  <si>
    <t>Rotacion de Inmueble Maquinaria y Equipo</t>
  </si>
  <si>
    <t>Rotacion de existencias</t>
  </si>
  <si>
    <t>Rotacion de caja y bancos</t>
  </si>
  <si>
    <t>Rotacion de activos totales</t>
  </si>
  <si>
    <t>Rotacion de activo fijo</t>
  </si>
  <si>
    <t>3. RATIOS DE SOLVENCIA O APALANCAMIENTO</t>
  </si>
  <si>
    <t>Estructura de capital(Pasivo total/Patrimonio)</t>
  </si>
  <si>
    <t>Endeudamiento total</t>
  </si>
  <si>
    <t>4. RATIOS DE RENTABILIDAD</t>
  </si>
  <si>
    <t>Rentabilidad DE la inversion</t>
  </si>
  <si>
    <t>Rentabilidad DEL patrimonio</t>
  </si>
  <si>
    <t>Rentabilidad DEL CAPITAL SOCIAL</t>
  </si>
  <si>
    <t>Rentabilidad DE ventas</t>
  </si>
  <si>
    <t>Margen comercial</t>
  </si>
  <si>
    <t>CUADRO DE LOCALIZACION</t>
  </si>
  <si>
    <t>LOCALIZACION</t>
  </si>
  <si>
    <t xml:space="preserve">CRITERIO DE CALIFICACION PONDERADA </t>
  </si>
  <si>
    <t xml:space="preserve">CRITERIO </t>
  </si>
  <si>
    <t xml:space="preserve">PONDERADA </t>
  </si>
  <si>
    <t>Muy Bueno</t>
  </si>
  <si>
    <t>Bueno</t>
  </si>
  <si>
    <t>Regular</t>
  </si>
  <si>
    <t>Mediano Regular</t>
  </si>
  <si>
    <t>Malo</t>
  </si>
  <si>
    <t>Factor Locacional</t>
  </si>
  <si>
    <t>Peso  Relativo</t>
  </si>
  <si>
    <t>Calle Pichincha</t>
  </si>
  <si>
    <t>Calle Moquegua</t>
  </si>
  <si>
    <t>Calle Zepita</t>
  </si>
  <si>
    <t>Calificacion</t>
  </si>
  <si>
    <t>Ponderacion</t>
  </si>
  <si>
    <t xml:space="preserve">1.- Disponibilidad De Area  </t>
  </si>
  <si>
    <t>2.- Contaminacion Ambiental</t>
  </si>
  <si>
    <t>3.- Extencion del Local</t>
  </si>
  <si>
    <t xml:space="preserve">4.- Existencia de Energia Electrica </t>
  </si>
  <si>
    <t xml:space="preserve">5.- Zona Estrategica </t>
  </si>
  <si>
    <t xml:space="preserve">TOTAL </t>
  </si>
  <si>
    <t xml:space="preserve">INTERPRETACION DE LOS RESULTADOS Y DECISIÓN FINAL </t>
  </si>
  <si>
    <t xml:space="preserve">Se escoge la alterntiva de localizacion a nivel macro a la calle Pichincha por tener una ponderacion mayor a las otras alternativas. En el caso que no se pudiera implementar en la Calle Pichincha se escoge la calle Moquegua por estar en segundo lugar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</si>
</sst>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S/.&quot;\ #,##0;[Red]&quot;S/.&quot;\ \-#,##0"/>
    <numFmt numFmtId="8" formatCode="&quot;S/.&quot;\ #,##0.00;[Red]&quot;S/.&quot;\ \-#,##0.00"/>
    <numFmt numFmtId="44" formatCode="_ &quot;S/.&quot;\ * #,##0.00_ ;_ &quot;S/.&quot;\ * \-#,##0.00_ ;_ &quot;S/.&quot;\ * &quot;-&quot;??_ ;_ @_ "/>
    <numFmt numFmtId="164" formatCode="&quot;S/.&quot;\ #,##0.00"/>
    <numFmt numFmtId="165" formatCode="0.000"/>
    <numFmt numFmtId="166" formatCode="0.0000"/>
    <numFmt numFmtId="167" formatCode="0.0%"/>
    <numFmt numFmtId="168" formatCode="0.0"/>
    <numFmt numFmtId="169" formatCode="&quot;S/.&quot;#,##0.00"/>
    <numFmt numFmtId="170" formatCode="&quot;S/.&quot;\ #,##0"/>
  </numFmts>
  <fonts count="44" x14ac:knownFonts="1">
    <font>
      <sz val="11"/>
      <color theme="1"/>
      <name val="Calibri"/>
      <family val="2"/>
      <scheme val="minor"/>
    </font>
    <font>
      <b/>
      <sz val="8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b/>
      <sz val="8"/>
      <color theme="1"/>
      <name val="Book Antiqua"/>
      <family val="1"/>
    </font>
    <font>
      <sz val="8"/>
      <color rgb="FF000000"/>
      <name val="Book Antiqua"/>
      <family val="1"/>
    </font>
    <font>
      <b/>
      <sz val="8"/>
      <color rgb="FF000000"/>
      <name val="Book Antiqua"/>
      <family val="1"/>
    </font>
    <font>
      <b/>
      <sz val="9"/>
      <color theme="1"/>
      <name val="Book Antiqua"/>
      <family val="1"/>
    </font>
    <font>
      <sz val="11"/>
      <color rgb="FF000000"/>
      <name val="Arial"/>
      <family val="2"/>
    </font>
    <font>
      <sz val="8"/>
      <color rgb="FFFF0000"/>
      <name val="Book Antiqua"/>
      <family val="1"/>
    </font>
    <font>
      <sz val="9"/>
      <color rgb="FFFF0000"/>
      <name val="Book Antiqu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"/>
      <color rgb="FFFF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666EC"/>
        <bgColor indexed="64"/>
      </patternFill>
    </fill>
    <fill>
      <patternFill patternType="solid">
        <fgColor rgb="FFF44AE8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21">
    <xf numFmtId="0" fontId="0" fillId="0" borderId="0" xfId="0"/>
    <xf numFmtId="0" fontId="13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4" fillId="0" borderId="1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15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/>
    <xf numFmtId="164" fontId="16" fillId="0" borderId="1" xfId="0" applyNumberFormat="1" applyFont="1" applyBorder="1" applyAlignment="1">
      <alignment horizontal="center"/>
    </xf>
    <xf numFmtId="164" fontId="14" fillId="0" borderId="1" xfId="0" applyNumberFormat="1" applyFont="1" applyBorder="1"/>
    <xf numFmtId="9" fontId="14" fillId="0" borderId="1" xfId="0" applyNumberFormat="1" applyFont="1" applyBorder="1"/>
    <xf numFmtId="164" fontId="15" fillId="0" borderId="0" xfId="0" applyNumberFormat="1" applyFont="1"/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164" fontId="1" fillId="0" borderId="1" xfId="0" applyNumberFormat="1" applyFont="1" applyBorder="1" applyAlignment="1">
      <alignment horizontal="right"/>
    </xf>
    <xf numFmtId="0" fontId="15" fillId="0" borderId="0" xfId="0" applyFont="1" applyFill="1"/>
    <xf numFmtId="0" fontId="1" fillId="0" borderId="0" xfId="0" applyFont="1" applyFill="1"/>
    <xf numFmtId="1" fontId="1" fillId="0" borderId="0" xfId="0" applyNumberFormat="1" applyFont="1" applyFill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Fill="1" applyBorder="1"/>
    <xf numFmtId="0" fontId="15" fillId="5" borderId="1" xfId="0" applyFont="1" applyFill="1" applyBorder="1" applyAlignment="1">
      <alignment horizontal="center"/>
    </xf>
    <xf numFmtId="166" fontId="15" fillId="5" borderId="1" xfId="0" applyNumberFormat="1" applyFont="1" applyFill="1" applyBorder="1"/>
    <xf numFmtId="0" fontId="15" fillId="5" borderId="0" xfId="0" applyFont="1" applyFill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1" xfId="2" applyNumberFormat="1" applyFont="1" applyFill="1" applyBorder="1"/>
    <xf numFmtId="165" fontId="1" fillId="0" borderId="1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8" xfId="0" applyFont="1" applyBorder="1" applyAlignment="1">
      <alignment wrapText="1"/>
    </xf>
    <xf numFmtId="2" fontId="14" fillId="0" borderId="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2" fontId="14" fillId="0" borderId="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1" fontId="14" fillId="0" borderId="12" xfId="0" applyNumberFormat="1" applyFont="1" applyBorder="1" applyAlignment="1">
      <alignment horizontal="center" vertical="center"/>
    </xf>
    <xf numFmtId="0" fontId="19" fillId="0" borderId="13" xfId="0" applyFont="1" applyBorder="1"/>
    <xf numFmtId="0" fontId="19" fillId="0" borderId="14" xfId="0" applyFont="1" applyBorder="1"/>
    <xf numFmtId="2" fontId="14" fillId="0" borderId="1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164" fontId="15" fillId="5" borderId="1" xfId="0" applyNumberFormat="1" applyFont="1" applyFill="1" applyBorder="1"/>
    <xf numFmtId="164" fontId="15" fillId="5" borderId="2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2" fontId="14" fillId="5" borderId="19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14" fillId="5" borderId="21" xfId="0" applyNumberFormat="1" applyFont="1" applyFill="1" applyBorder="1" applyAlignment="1">
      <alignment horizontal="center" vertical="center"/>
    </xf>
    <xf numFmtId="1" fontId="14" fillId="5" borderId="12" xfId="0" applyNumberFormat="1" applyFont="1" applyFill="1" applyBorder="1" applyAlignment="1">
      <alignment horizontal="center" vertical="center"/>
    </xf>
    <xf numFmtId="1" fontId="14" fillId="5" borderId="23" xfId="0" applyNumberFormat="1" applyFont="1" applyFill="1" applyBorder="1" applyAlignment="1">
      <alignment horizontal="center" vertical="center"/>
    </xf>
    <xf numFmtId="2" fontId="14" fillId="5" borderId="12" xfId="0" applyNumberFormat="1" applyFont="1" applyFill="1" applyBorder="1" applyAlignment="1">
      <alignment horizontal="center" vertical="center"/>
    </xf>
    <xf numFmtId="2" fontId="14" fillId="5" borderId="23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 wrapText="1"/>
    </xf>
    <xf numFmtId="8" fontId="15" fillId="0" borderId="0" xfId="0" applyNumberFormat="1" applyFont="1"/>
    <xf numFmtId="0" fontId="21" fillId="0" borderId="0" xfId="0" applyFont="1"/>
    <xf numFmtId="164" fontId="21" fillId="0" borderId="0" xfId="0" applyNumberFormat="1" applyFont="1"/>
    <xf numFmtId="164" fontId="22" fillId="0" borderId="0" xfId="0" applyNumberFormat="1" applyFont="1"/>
    <xf numFmtId="0" fontId="1" fillId="7" borderId="24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right"/>
    </xf>
    <xf numFmtId="0" fontId="4" fillId="7" borderId="25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164" fontId="3" fillId="8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right"/>
    </xf>
    <xf numFmtId="0" fontId="1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right"/>
    </xf>
    <xf numFmtId="0" fontId="3" fillId="5" borderId="27" xfId="0" applyFont="1" applyFill="1" applyBorder="1" applyAlignment="1">
      <alignment horizontal="center"/>
    </xf>
    <xf numFmtId="164" fontId="4" fillId="5" borderId="27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164" fontId="2" fillId="8" borderId="1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/>
    <xf numFmtId="164" fontId="4" fillId="8" borderId="1" xfId="0" applyNumberFormat="1" applyFont="1" applyFill="1" applyBorder="1" applyAlignment="1">
      <alignment horizontal="right"/>
    </xf>
    <xf numFmtId="164" fontId="5" fillId="8" borderId="1" xfId="0" applyNumberFormat="1" applyFont="1" applyFill="1" applyBorder="1"/>
    <xf numFmtId="0" fontId="5" fillId="8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/>
    <xf numFmtId="164" fontId="19" fillId="8" borderId="1" xfId="0" applyNumberFormat="1" applyFont="1" applyFill="1" applyBorder="1"/>
    <xf numFmtId="9" fontId="19" fillId="8" borderId="1" xfId="0" applyNumberFormat="1" applyFont="1" applyFill="1" applyBorder="1"/>
    <xf numFmtId="0" fontId="1" fillId="8" borderId="1" xfId="0" applyFont="1" applyFill="1" applyBorder="1" applyAlignment="1">
      <alignment horizontal="center" vertical="center"/>
    </xf>
    <xf numFmtId="44" fontId="1" fillId="0" borderId="1" xfId="1" applyFont="1" applyFill="1" applyBorder="1"/>
    <xf numFmtId="0" fontId="1" fillId="8" borderId="4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6" fillId="8" borderId="1" xfId="0" applyFont="1" applyFill="1" applyBorder="1"/>
    <xf numFmtId="164" fontId="16" fillId="8" borderId="1" xfId="0" applyNumberFormat="1" applyFont="1" applyFill="1" applyBorder="1"/>
    <xf numFmtId="0" fontId="16" fillId="12" borderId="3" xfId="0" applyFont="1" applyFill="1" applyBorder="1"/>
    <xf numFmtId="0" fontId="23" fillId="12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 wrapText="1"/>
    </xf>
    <xf numFmtId="2" fontId="15" fillId="12" borderId="1" xfId="0" applyNumberFormat="1" applyFont="1" applyFill="1" applyBorder="1" applyAlignment="1">
      <alignment horizontal="right"/>
    </xf>
    <xf numFmtId="0" fontId="15" fillId="12" borderId="1" xfId="0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164" fontId="16" fillId="13" borderId="1" xfId="0" applyNumberFormat="1" applyFont="1" applyFill="1" applyBorder="1" applyAlignment="1">
      <alignment horizontal="right" vertical="center" wrapText="1"/>
    </xf>
    <xf numFmtId="0" fontId="18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right" vertical="center"/>
    </xf>
    <xf numFmtId="164" fontId="1" fillId="14" borderId="1" xfId="0" applyNumberFormat="1" applyFont="1" applyFill="1" applyBorder="1" applyAlignment="1">
      <alignment horizontal="right" vertical="center"/>
    </xf>
    <xf numFmtId="0" fontId="17" fillId="14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/>
    <xf numFmtId="0" fontId="15" fillId="9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left"/>
    </xf>
    <xf numFmtId="0" fontId="1" fillId="15" borderId="1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left"/>
    </xf>
    <xf numFmtId="0" fontId="4" fillId="17" borderId="1" xfId="0" applyFont="1" applyFill="1" applyBorder="1"/>
    <xf numFmtId="164" fontId="4" fillId="17" borderId="1" xfId="0" applyNumberFormat="1" applyFont="1" applyFill="1" applyBorder="1" applyAlignment="1">
      <alignment horizontal="right"/>
    </xf>
    <xf numFmtId="14" fontId="1" fillId="8" borderId="3" xfId="0" applyNumberFormat="1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/>
    </xf>
    <xf numFmtId="0" fontId="1" fillId="17" borderId="30" xfId="0" applyFont="1" applyFill="1" applyBorder="1" applyAlignment="1">
      <alignment vertical="center"/>
    </xf>
    <xf numFmtId="0" fontId="1" fillId="17" borderId="31" xfId="0" applyFont="1" applyFill="1" applyBorder="1" applyAlignment="1">
      <alignment vertical="center"/>
    </xf>
    <xf numFmtId="164" fontId="1" fillId="17" borderId="31" xfId="0" applyNumberFormat="1" applyFont="1" applyFill="1" applyBorder="1" applyAlignment="1">
      <alignment horizontal="center" vertical="center"/>
    </xf>
    <xf numFmtId="164" fontId="1" fillId="17" borderId="32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vertical="center"/>
    </xf>
    <xf numFmtId="0" fontId="1" fillId="12" borderId="31" xfId="0" applyFont="1" applyFill="1" applyBorder="1" applyAlignment="1">
      <alignment vertical="center"/>
    </xf>
    <xf numFmtId="164" fontId="7" fillId="12" borderId="31" xfId="0" applyNumberFormat="1" applyFont="1" applyFill="1" applyBorder="1" applyAlignment="1">
      <alignment horizontal="center"/>
    </xf>
    <xf numFmtId="164" fontId="1" fillId="12" borderId="31" xfId="0" applyNumberFormat="1" applyFont="1" applyFill="1" applyBorder="1" applyAlignment="1">
      <alignment horizontal="center" vertical="center"/>
    </xf>
    <xf numFmtId="164" fontId="1" fillId="12" borderId="32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164" fontId="1" fillId="14" borderId="3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164" fontId="1" fillId="14" borderId="1" xfId="0" applyNumberFormat="1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right"/>
    </xf>
    <xf numFmtId="164" fontId="16" fillId="12" borderId="1" xfId="0" applyNumberFormat="1" applyFont="1" applyFill="1" applyBorder="1"/>
    <xf numFmtId="0" fontId="19" fillId="8" borderId="33" xfId="0" applyFont="1" applyFill="1" applyBorder="1"/>
    <xf numFmtId="0" fontId="19" fillId="8" borderId="34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2" fontId="14" fillId="8" borderId="35" xfId="0" applyNumberFormat="1" applyFont="1" applyFill="1" applyBorder="1" applyAlignment="1">
      <alignment horizontal="center" vertical="center"/>
    </xf>
    <xf numFmtId="2" fontId="14" fillId="8" borderId="36" xfId="0" applyNumberFormat="1" applyFont="1" applyFill="1" applyBorder="1" applyAlignment="1">
      <alignment horizontal="center" vertical="center"/>
    </xf>
    <xf numFmtId="2" fontId="14" fillId="8" borderId="37" xfId="0" applyNumberFormat="1" applyFont="1" applyFill="1" applyBorder="1" applyAlignment="1">
      <alignment horizontal="center" vertical="center"/>
    </xf>
    <xf numFmtId="2" fontId="14" fillId="8" borderId="38" xfId="0" applyNumberFormat="1" applyFont="1" applyFill="1" applyBorder="1" applyAlignment="1">
      <alignment horizontal="center" vertical="center"/>
    </xf>
    <xf numFmtId="0" fontId="19" fillId="8" borderId="13" xfId="0" applyFont="1" applyFill="1" applyBorder="1"/>
    <xf numFmtId="0" fontId="19" fillId="8" borderId="32" xfId="0" applyFont="1" applyFill="1" applyBorder="1" applyAlignment="1">
      <alignment horizontal="center" vertical="center" wrapText="1"/>
    </xf>
    <xf numFmtId="14" fontId="1" fillId="8" borderId="39" xfId="0" applyNumberFormat="1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left" vertical="center" wrapText="1"/>
    </xf>
    <xf numFmtId="14" fontId="1" fillId="8" borderId="41" xfId="0" applyNumberFormat="1" applyFont="1" applyFill="1" applyBorder="1" applyAlignment="1">
      <alignment horizontal="center" vertical="center" wrapText="1"/>
    </xf>
    <xf numFmtId="14" fontId="1" fillId="8" borderId="42" xfId="0" applyNumberFormat="1" applyFont="1" applyFill="1" applyBorder="1" applyAlignment="1">
      <alignment horizontal="center" vertical="center" wrapText="1"/>
    </xf>
    <xf numFmtId="14" fontId="1" fillId="8" borderId="43" xfId="0" applyNumberFormat="1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left" vertical="center"/>
    </xf>
    <xf numFmtId="0" fontId="19" fillId="8" borderId="40" xfId="0" applyFont="1" applyFill="1" applyBorder="1"/>
    <xf numFmtId="0" fontId="1" fillId="18" borderId="24" xfId="0" applyFont="1" applyFill="1" applyBorder="1" applyAlignment="1">
      <alignment horizontal="left" vertical="center" wrapText="1"/>
    </xf>
    <xf numFmtId="0" fontId="4" fillId="18" borderId="25" xfId="0" applyFont="1" applyFill="1" applyBorder="1" applyAlignment="1">
      <alignment horizontal="right"/>
    </xf>
    <xf numFmtId="0" fontId="4" fillId="18" borderId="25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left" vertical="center" wrapText="1"/>
    </xf>
    <xf numFmtId="0" fontId="3" fillId="18" borderId="31" xfId="0" applyFont="1" applyFill="1" applyBorder="1" applyAlignment="1">
      <alignment horizontal="right"/>
    </xf>
    <xf numFmtId="0" fontId="3" fillId="18" borderId="31" xfId="0" applyFont="1" applyFill="1" applyBorder="1" applyAlignment="1">
      <alignment horizontal="center"/>
    </xf>
    <xf numFmtId="0" fontId="3" fillId="18" borderId="32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right"/>
    </xf>
    <xf numFmtId="0" fontId="3" fillId="17" borderId="1" xfId="0" applyFont="1" applyFill="1" applyBorder="1" applyAlignment="1">
      <alignment horizontal="center"/>
    </xf>
    <xf numFmtId="0" fontId="3" fillId="17" borderId="1" xfId="0" applyFont="1" applyFill="1" applyBorder="1"/>
    <xf numFmtId="0" fontId="1" fillId="19" borderId="30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vertical="center"/>
    </xf>
    <xf numFmtId="0" fontId="1" fillId="19" borderId="27" xfId="0" applyFont="1" applyFill="1" applyBorder="1" applyAlignment="1">
      <alignment vertical="center"/>
    </xf>
    <xf numFmtId="0" fontId="1" fillId="19" borderId="27" xfId="0" applyFont="1" applyFill="1" applyBorder="1" applyAlignment="1">
      <alignment horizontal="center" vertical="center"/>
    </xf>
    <xf numFmtId="0" fontId="1" fillId="19" borderId="44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vertical="center"/>
    </xf>
    <xf numFmtId="164" fontId="1" fillId="19" borderId="3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vertical="center"/>
    </xf>
    <xf numFmtId="164" fontId="1" fillId="19" borderId="1" xfId="0" applyNumberFormat="1" applyFont="1" applyFill="1" applyBorder="1" applyAlignment="1">
      <alignment horizontal="center" vertical="center"/>
    </xf>
    <xf numFmtId="164" fontId="1" fillId="19" borderId="27" xfId="0" applyNumberFormat="1" applyFont="1" applyFill="1" applyBorder="1" applyAlignment="1">
      <alignment horizontal="center" vertical="center"/>
    </xf>
    <xf numFmtId="164" fontId="1" fillId="19" borderId="44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/>
    <xf numFmtId="164" fontId="1" fillId="20" borderId="1" xfId="0" applyNumberFormat="1" applyFont="1" applyFill="1" applyBorder="1" applyAlignment="1"/>
    <xf numFmtId="3" fontId="0" fillId="0" borderId="1" xfId="0" applyNumberFormat="1" applyBorder="1" applyAlignment="1">
      <alignment horizontal="center"/>
    </xf>
    <xf numFmtId="0" fontId="1" fillId="12" borderId="3" xfId="0" applyFont="1" applyFill="1" applyBorder="1" applyAlignment="1">
      <alignment vertical="center"/>
    </xf>
    <xf numFmtId="164" fontId="1" fillId="12" borderId="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2" fillId="5" borderId="1" xfId="0" applyNumberFormat="1" applyFont="1" applyFill="1" applyBorder="1" applyAlignment="1"/>
    <xf numFmtId="0" fontId="16" fillId="0" borderId="0" xfId="0" applyFont="1"/>
    <xf numFmtId="164" fontId="1" fillId="5" borderId="1" xfId="0" applyNumberFormat="1" applyFont="1" applyFill="1" applyBorder="1" applyAlignment="1"/>
    <xf numFmtId="0" fontId="24" fillId="20" borderId="1" xfId="0" applyFont="1" applyFill="1" applyBorder="1" applyAlignment="1">
      <alignment horizontal="center" vertical="center" wrapText="1"/>
    </xf>
    <xf numFmtId="0" fontId="25" fillId="0" borderId="30" xfId="0" applyFont="1" applyBorder="1"/>
    <xf numFmtId="2" fontId="25" fillId="0" borderId="32" xfId="0" applyNumberFormat="1" applyFont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1" fontId="0" fillId="0" borderId="0" xfId="0" applyNumberFormat="1"/>
    <xf numFmtId="9" fontId="12" fillId="0" borderId="1" xfId="2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0" xfId="0" applyNumberFormat="1" applyFont="1"/>
    <xf numFmtId="3" fontId="12" fillId="0" borderId="1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/>
    <xf numFmtId="0" fontId="0" fillId="0" borderId="45" xfId="0" applyBorder="1"/>
    <xf numFmtId="6" fontId="16" fillId="15" borderId="1" xfId="0" applyNumberFormat="1" applyFont="1" applyFill="1" applyBorder="1"/>
    <xf numFmtId="164" fontId="14" fillId="0" borderId="0" xfId="0" applyNumberFormat="1" applyFont="1"/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1" xfId="0" applyFill="1" applyBorder="1"/>
    <xf numFmtId="0" fontId="0" fillId="5" borderId="1" xfId="0" applyFont="1" applyFill="1" applyBorder="1"/>
    <xf numFmtId="0" fontId="26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/>
    </xf>
    <xf numFmtId="0" fontId="18" fillId="8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3" fontId="17" fillId="14" borderId="1" xfId="0" applyNumberFormat="1" applyFont="1" applyFill="1" applyBorder="1" applyAlignment="1">
      <alignment horizontal="right" vertical="center" wrapText="1"/>
    </xf>
    <xf numFmtId="9" fontId="3" fillId="0" borderId="1" xfId="2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9" fontId="3" fillId="0" borderId="1" xfId="2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167" fontId="15" fillId="0" borderId="0" xfId="2" applyNumberFormat="1" applyFont="1"/>
    <xf numFmtId="167" fontId="11" fillId="0" borderId="1" xfId="2" applyNumberFormat="1" applyFont="1" applyBorder="1" applyAlignment="1">
      <alignment horizontal="center"/>
    </xf>
    <xf numFmtId="164" fontId="1" fillId="0" borderId="1" xfId="0" applyNumberFormat="1" applyFont="1" applyFill="1" applyBorder="1" applyAlignment="1"/>
    <xf numFmtId="9" fontId="1" fillId="0" borderId="1" xfId="2" applyFont="1" applyFill="1" applyBorder="1"/>
    <xf numFmtId="167" fontId="1" fillId="0" borderId="1" xfId="2" applyNumberFormat="1" applyFont="1" applyFill="1" applyBorder="1"/>
    <xf numFmtId="168" fontId="14" fillId="0" borderId="0" xfId="0" applyNumberFormat="1" applyFont="1"/>
    <xf numFmtId="2" fontId="0" fillId="0" borderId="1" xfId="0" applyNumberFormat="1" applyBorder="1" applyAlignment="1">
      <alignment horizontal="center"/>
    </xf>
    <xf numFmtId="164" fontId="27" fillId="17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64" fontId="2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0" fontId="1" fillId="8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6" fillId="0" borderId="0" xfId="0" applyFont="1" applyAlignment="1">
      <alignment horizontal="center" vertical="center"/>
    </xf>
    <xf numFmtId="2" fontId="9" fillId="21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169" fontId="15" fillId="0" borderId="0" xfId="0" applyNumberFormat="1" applyFont="1"/>
    <xf numFmtId="9" fontId="18" fillId="11" borderId="1" xfId="0" applyNumberFormat="1" applyFont="1" applyFill="1" applyBorder="1" applyAlignment="1">
      <alignment horizontal="center" vertical="center" wrapText="1"/>
    </xf>
    <xf numFmtId="10" fontId="18" fillId="11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/>
    <xf numFmtId="164" fontId="4" fillId="6" borderId="1" xfId="0" applyNumberFormat="1" applyFont="1" applyFill="1" applyBorder="1" applyAlignment="1">
      <alignment horizontal="center"/>
    </xf>
    <xf numFmtId="0" fontId="16" fillId="6" borderId="1" xfId="0" applyFont="1" applyFill="1" applyBorder="1"/>
    <xf numFmtId="6" fontId="16" fillId="6" borderId="1" xfId="0" applyNumberFormat="1" applyFont="1" applyFill="1" applyBorder="1"/>
    <xf numFmtId="168" fontId="15" fillId="0" borderId="0" xfId="0" applyNumberFormat="1" applyFont="1"/>
    <xf numFmtId="1" fontId="1" fillId="8" borderId="3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32" fillId="0" borderId="0" xfId="0" applyFont="1"/>
    <xf numFmtId="164" fontId="32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65" fontId="15" fillId="0" borderId="0" xfId="0" applyNumberFormat="1" applyFont="1"/>
    <xf numFmtId="170" fontId="15" fillId="5" borderId="1" xfId="0" applyNumberFormat="1" applyFont="1" applyFill="1" applyBorder="1" applyAlignment="1">
      <alignment horizontal="right"/>
    </xf>
    <xf numFmtId="2" fontId="34" fillId="0" borderId="0" xfId="0" applyNumberFormat="1" applyFont="1"/>
    <xf numFmtId="168" fontId="34" fillId="0" borderId="46" xfId="0" applyNumberFormat="1" applyFont="1" applyBorder="1"/>
    <xf numFmtId="0" fontId="35" fillId="6" borderId="0" xfId="0" applyFont="1" applyFill="1" applyAlignment="1">
      <alignment horizontal="right"/>
    </xf>
    <xf numFmtId="168" fontId="35" fillId="6" borderId="0" xfId="0" applyNumberFormat="1" applyFont="1" applyFill="1" applyAlignment="1">
      <alignment horizontal="left"/>
    </xf>
    <xf numFmtId="0" fontId="36" fillId="0" borderId="0" xfId="0" applyFont="1"/>
    <xf numFmtId="2" fontId="37" fillId="0" borderId="0" xfId="0" applyNumberFormat="1" applyFont="1" applyAlignment="1">
      <alignment horizontal="left"/>
    </xf>
    <xf numFmtId="0" fontId="38" fillId="0" borderId="0" xfId="0" applyFont="1"/>
    <xf numFmtId="0" fontId="0" fillId="0" borderId="2" xfId="0" applyBorder="1"/>
    <xf numFmtId="0" fontId="0" fillId="0" borderId="32" xfId="0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39" fillId="0" borderId="0" xfId="0" applyFont="1"/>
    <xf numFmtId="0" fontId="40" fillId="0" borderId="1" xfId="0" applyFont="1" applyBorder="1"/>
    <xf numFmtId="0" fontId="0" fillId="0" borderId="1" xfId="0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42" fillId="0" borderId="0" xfId="0" applyFont="1"/>
    <xf numFmtId="164" fontId="42" fillId="0" borderId="0" xfId="0" applyNumberFormat="1" applyFont="1"/>
    <xf numFmtId="2" fontId="40" fillId="0" borderId="1" xfId="0" applyNumberFormat="1" applyFont="1" applyBorder="1"/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9" fontId="16" fillId="6" borderId="1" xfId="0" applyNumberFormat="1" applyFont="1" applyFill="1" applyBorder="1"/>
    <xf numFmtId="9" fontId="1" fillId="8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2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9" fillId="2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RATIOS'!$B$27</c:f>
              <c:strCache>
                <c:ptCount val="1"/>
                <c:pt idx="0">
                  <c:v>Liquidez General (AC/PC)</c:v>
                </c:pt>
              </c:strCache>
            </c:strRef>
          </c:tx>
          <c:xVal>
            <c:strRef>
              <c:f>'PRINCIPALES RATIOS'!$C$26:$J$26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xVal>
          <c:yVal>
            <c:numRef>
              <c:f>'PRINCIPALES RATIOS'!$C$27:$J$27</c:f>
              <c:numCache>
                <c:formatCode>0.00</c:formatCode>
                <c:ptCount val="8"/>
                <c:pt idx="0">
                  <c:v>4.2313570448431959</c:v>
                </c:pt>
                <c:pt idx="1">
                  <c:v>4.6504028881528852</c:v>
                </c:pt>
                <c:pt idx="2">
                  <c:v>4.0638040004270692</c:v>
                </c:pt>
                <c:pt idx="3">
                  <c:v>3.8766585859309455</c:v>
                </c:pt>
                <c:pt idx="4">
                  <c:v>3.92237749142281</c:v>
                </c:pt>
                <c:pt idx="5">
                  <c:v>3.9106844601158604</c:v>
                </c:pt>
                <c:pt idx="6">
                  <c:v>3.8206144380204017</c:v>
                </c:pt>
                <c:pt idx="7">
                  <c:v>3.673350842290755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B60-4611-9D0E-204518A9E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1936"/>
        <c:axId val="31352512"/>
      </c:scatterChart>
      <c:valAx>
        <c:axId val="31351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2512"/>
        <c:crosses val="autoZero"/>
        <c:crossBetween val="midCat"/>
      </c:valAx>
      <c:valAx>
        <c:axId val="31352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193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RATIOS'!$B$30</c:f>
              <c:strCache>
                <c:ptCount val="1"/>
                <c:pt idx="0">
                  <c:v>Capital de Trabajo (AC-PC)</c:v>
                </c:pt>
              </c:strCache>
            </c:strRef>
          </c:tx>
          <c:yVal>
            <c:numRef>
              <c:f>'PRINCIPALES RATIOS'!$C$30:$J$30</c:f>
              <c:numCache>
                <c:formatCode>0</c:formatCode>
                <c:ptCount val="8"/>
                <c:pt idx="0">
                  <c:v>94050.272080908326</c:v>
                </c:pt>
                <c:pt idx="1">
                  <c:v>70016.303337972378</c:v>
                </c:pt>
                <c:pt idx="2">
                  <c:v>91597.301853050158</c:v>
                </c:pt>
                <c:pt idx="3">
                  <c:v>87783.788130455592</c:v>
                </c:pt>
                <c:pt idx="4">
                  <c:v>92016.625067162182</c:v>
                </c:pt>
                <c:pt idx="5">
                  <c:v>93800.8088846709</c:v>
                </c:pt>
                <c:pt idx="6">
                  <c:v>92347.234952347411</c:v>
                </c:pt>
                <c:pt idx="7">
                  <c:v>89886.282816281397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253-4B26-B710-2F398BB7B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69056"/>
        <c:axId val="126269632"/>
      </c:scatterChart>
      <c:valAx>
        <c:axId val="1262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9632"/>
        <c:crosses val="autoZero"/>
        <c:crossBetween val="midCat"/>
      </c:valAx>
      <c:valAx>
        <c:axId val="126269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90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RATIOS'!$B$28</c:f>
              <c:strCache>
                <c:ptCount val="1"/>
                <c:pt idx="0">
                  <c:v>Prueba Acida ( (AC-EXIS)/PC)</c:v>
                </c:pt>
              </c:strCache>
            </c:strRef>
          </c:tx>
          <c:yVal>
            <c:numRef>
              <c:f>'PRINCIPALES RATIOS'!$C$28:$J$28</c:f>
              <c:numCache>
                <c:formatCode>0.00</c:formatCode>
                <c:ptCount val="8"/>
                <c:pt idx="0">
                  <c:v>3.1282117039796016</c:v>
                </c:pt>
                <c:pt idx="1">
                  <c:v>2.9764259687217121</c:v>
                </c:pt>
                <c:pt idx="2">
                  <c:v>2.9898488583648097</c:v>
                </c:pt>
                <c:pt idx="3">
                  <c:v>2.824498441322282</c:v>
                </c:pt>
                <c:pt idx="4">
                  <c:v>2.9026647223974202</c:v>
                </c:pt>
                <c:pt idx="5">
                  <c:v>2.9143701054441427</c:v>
                </c:pt>
                <c:pt idx="6">
                  <c:v>2.8399336393271235</c:v>
                </c:pt>
                <c:pt idx="7">
                  <c:v>2.7184233849013713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9F-49D6-8E8E-6D45786F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4240"/>
        <c:axId val="31354816"/>
      </c:scatterChart>
      <c:valAx>
        <c:axId val="31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4816"/>
        <c:crosses val="autoZero"/>
        <c:crossBetween val="midCat"/>
      </c:valAx>
      <c:valAx>
        <c:axId val="31354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424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RATIOS'!$B$33</c:f>
              <c:strCache>
                <c:ptCount val="1"/>
                <c:pt idx="0">
                  <c:v>Rotacion de Inmueble Maquinaria y Equipo</c:v>
                </c:pt>
              </c:strCache>
            </c:strRef>
          </c:tx>
          <c:yVal>
            <c:numRef>
              <c:f>'PRINCIPALES RATIOS'!$C$33:$J$33</c:f>
              <c:numCache>
                <c:formatCode>0.00</c:formatCode>
                <c:ptCount val="8"/>
                <c:pt idx="0">
                  <c:v>6.1492281303602061</c:v>
                </c:pt>
                <c:pt idx="1">
                  <c:v>4.0994854202401374</c:v>
                </c:pt>
                <c:pt idx="2">
                  <c:v>6.1492281303602061</c:v>
                </c:pt>
                <c:pt idx="3">
                  <c:v>6.1492281303602061</c:v>
                </c:pt>
                <c:pt idx="4">
                  <c:v>6.1492281303602061</c:v>
                </c:pt>
                <c:pt idx="5">
                  <c:v>6.1492281303602061</c:v>
                </c:pt>
                <c:pt idx="6">
                  <c:v>6.1492281303602061</c:v>
                </c:pt>
                <c:pt idx="7">
                  <c:v>6.1492281303602061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581-4698-A1FD-031ACAB0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56544"/>
        <c:axId val="31357120"/>
      </c:scatterChart>
      <c:valAx>
        <c:axId val="313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7120"/>
        <c:crosses val="autoZero"/>
        <c:crossBetween val="midCat"/>
      </c:valAx>
      <c:valAx>
        <c:axId val="3135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3135654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RATIOS'!$B$40</c:f>
              <c:strCache>
                <c:ptCount val="1"/>
                <c:pt idx="0">
                  <c:v>Estructura de capital(Pasivo total/Patrimonio)</c:v>
                </c:pt>
              </c:strCache>
            </c:strRef>
          </c:tx>
          <c:yVal>
            <c:numRef>
              <c:f>'PRINCIPALES RATIOS'!$C$40:$J$40</c:f>
              <c:numCache>
                <c:formatCode>0.00</c:formatCode>
                <c:ptCount val="8"/>
                <c:pt idx="0">
                  <c:v>0.89371206699052863</c:v>
                </c:pt>
                <c:pt idx="1">
                  <c:v>0.50450782189117394</c:v>
                </c:pt>
                <c:pt idx="2">
                  <c:v>0.36822438449837269</c:v>
                </c:pt>
                <c:pt idx="3">
                  <c:v>0.25399815290867767</c:v>
                </c:pt>
                <c:pt idx="4">
                  <c:v>0.18442698662046147</c:v>
                </c:pt>
                <c:pt idx="5">
                  <c:v>0.13597122512236196</c:v>
                </c:pt>
                <c:pt idx="6">
                  <c:v>9.9607481374868995E-2</c:v>
                </c:pt>
                <c:pt idx="7">
                  <c:v>7.1717859200119027E-2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10-4FE7-B7D0-B8C59BA1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26880"/>
        <c:axId val="124027456"/>
      </c:scatterChart>
      <c:valAx>
        <c:axId val="1240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27456"/>
        <c:crosses val="autoZero"/>
        <c:crossBetween val="midCat"/>
      </c:valAx>
      <c:valAx>
        <c:axId val="124027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2688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RATIOS'!$B$41</c:f>
              <c:strCache>
                <c:ptCount val="1"/>
                <c:pt idx="0">
                  <c:v>Endeudamiento total</c:v>
                </c:pt>
              </c:strCache>
            </c:strRef>
          </c:tx>
          <c:yVal>
            <c:numRef>
              <c:f>'PRINCIPALES RATIOS'!$C$41:$J$41</c:f>
              <c:numCache>
                <c:formatCode>0.00</c:formatCode>
                <c:ptCount val="8"/>
                <c:pt idx="0">
                  <c:v>0.46065324556042919</c:v>
                </c:pt>
                <c:pt idx="1">
                  <c:v>0.46885880977106531</c:v>
                </c:pt>
                <c:pt idx="2">
                  <c:v>0.407633279218579</c:v>
                </c:pt>
                <c:pt idx="3">
                  <c:v>0.38350217363792688</c:v>
                </c:pt>
                <c:pt idx="4">
                  <c:v>0.33825487741384014</c:v>
                </c:pt>
                <c:pt idx="5">
                  <c:v>0.29584356905867715</c:v>
                </c:pt>
                <c:pt idx="6">
                  <c:v>0.25496240665550041</c:v>
                </c:pt>
                <c:pt idx="7">
                  <c:v>0.21249994127185906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EEA-4677-BADC-7A5E735F4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29184"/>
        <c:axId val="124029760"/>
      </c:scatterChart>
      <c:valAx>
        <c:axId val="1240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29760"/>
        <c:crosses val="autoZero"/>
        <c:crossBetween val="midCat"/>
      </c:valAx>
      <c:valAx>
        <c:axId val="12402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2918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115048118985126"/>
          <c:y val="0.21718759113444155"/>
          <c:w val="0.50440507436570425"/>
          <c:h val="0.688699693788276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'PRINCIPALES RATIOS'!$B$44</c:f>
              <c:strCache>
                <c:ptCount val="1"/>
                <c:pt idx="0">
                  <c:v>Rentabilidad DE la inversion</c:v>
                </c:pt>
              </c:strCache>
            </c:strRef>
          </c:tx>
          <c:yVal>
            <c:numRef>
              <c:f>'PRINCIPALES RATIOS'!$C$44:$J$44</c:f>
              <c:numCache>
                <c:formatCode>0.00</c:formatCode>
                <c:ptCount val="8"/>
                <c:pt idx="0">
                  <c:v>36.658399245214646</c:v>
                </c:pt>
                <c:pt idx="1">
                  <c:v>27.264304531439443</c:v>
                </c:pt>
                <c:pt idx="2">
                  <c:v>36.982934689166861</c:v>
                </c:pt>
                <c:pt idx="3">
                  <c:v>37.972880936017894</c:v>
                </c:pt>
                <c:pt idx="4">
                  <c:v>37.388274584171185</c:v>
                </c:pt>
                <c:pt idx="5">
                  <c:v>37.048993351086835</c:v>
                </c:pt>
                <c:pt idx="6">
                  <c:v>0.37109440487431378</c:v>
                </c:pt>
                <c:pt idx="7">
                  <c:v>0.37780014790936051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2A-426F-AAAE-CFE6FF9B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1488"/>
        <c:axId val="124032064"/>
      </c:scatterChart>
      <c:valAx>
        <c:axId val="1240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32064"/>
        <c:crosses val="autoZero"/>
        <c:crossBetween val="midCat"/>
      </c:valAx>
      <c:valAx>
        <c:axId val="124032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3148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RATIOS'!$B$45</c:f>
              <c:strCache>
                <c:ptCount val="1"/>
                <c:pt idx="0">
                  <c:v>Rentabilidad DEL patrimonio</c:v>
                </c:pt>
              </c:strCache>
            </c:strRef>
          </c:tx>
          <c:yVal>
            <c:numRef>
              <c:f>'PRINCIPALES RATIOS'!$C$45:$J$45</c:f>
              <c:numCache>
                <c:formatCode>0.00</c:formatCode>
                <c:ptCount val="8"/>
                <c:pt idx="0">
                  <c:v>0.71120857342808053</c:v>
                </c:pt>
                <c:pt idx="1">
                  <c:v>0.29337307112242395</c:v>
                </c:pt>
                <c:pt idx="2">
                  <c:v>0.33407523519589277</c:v>
                </c:pt>
                <c:pt idx="3">
                  <c:v>0.25149900786418455</c:v>
                </c:pt>
                <c:pt idx="4">
                  <c:v>0.20385239879515019</c:v>
                </c:pt>
                <c:pt idx="5">
                  <c:v>0.17027907794400526</c:v>
                </c:pt>
                <c:pt idx="6">
                  <c:v>0.14497736943541228</c:v>
                </c:pt>
                <c:pt idx="7">
                  <c:v>0.12750600141994392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CC-4A14-8ECE-296BF023A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3792"/>
        <c:axId val="124034368"/>
      </c:scatterChart>
      <c:valAx>
        <c:axId val="1240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34368"/>
        <c:crosses val="autoZero"/>
        <c:crossBetween val="midCat"/>
      </c:valAx>
      <c:valAx>
        <c:axId val="12403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403379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RATIOS'!$B$47</c:f>
              <c:strCache>
                <c:ptCount val="1"/>
                <c:pt idx="0">
                  <c:v>Rentabilidad DE ventas</c:v>
                </c:pt>
              </c:strCache>
            </c:strRef>
          </c:tx>
          <c:yVal>
            <c:numRef>
              <c:f>'PRINCIPALES RATIOS'!$C$47:$J$47</c:f>
              <c:numCache>
                <c:formatCode>0.00</c:formatCode>
                <c:ptCount val="8"/>
                <c:pt idx="0">
                  <c:v>0.28827259824656881</c:v>
                </c:pt>
                <c:pt idx="1">
                  <c:v>0.25242228948015244</c:v>
                </c:pt>
                <c:pt idx="2">
                  <c:v>0.2877632382740824</c:v>
                </c:pt>
                <c:pt idx="3">
                  <c:v>0.28942425566115076</c:v>
                </c:pt>
                <c:pt idx="4">
                  <c:v>0.29465979629952005</c:v>
                </c:pt>
                <c:pt idx="5">
                  <c:v>0.29664313792512365</c:v>
                </c:pt>
                <c:pt idx="6">
                  <c:v>0.29538988677759442</c:v>
                </c:pt>
                <c:pt idx="7">
                  <c:v>0.29775810040044787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0AA-4244-BD14-7AE21187C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64448"/>
        <c:axId val="126265024"/>
      </c:scatterChart>
      <c:valAx>
        <c:axId val="1262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5024"/>
        <c:crosses val="autoZero"/>
        <c:crossBetween val="midCat"/>
      </c:valAx>
      <c:valAx>
        <c:axId val="126265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44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'PRINCIPALES RATIOS'!$B$29</c:f>
              <c:strCache>
                <c:ptCount val="1"/>
                <c:pt idx="0">
                  <c:v>Prueba Defensiva (CB/PC)</c:v>
                </c:pt>
              </c:strCache>
            </c:strRef>
          </c:tx>
          <c:yVal>
            <c:numRef>
              <c:f>'PRINCIPALES RATIOS'!$C$29:$J$29</c:f>
              <c:numCache>
                <c:formatCode>0.00</c:formatCode>
                <c:ptCount val="8"/>
                <c:pt idx="0">
                  <c:v>2.7833284697425751</c:v>
                </c:pt>
                <c:pt idx="1">
                  <c:v>2.5403043984068403</c:v>
                </c:pt>
                <c:pt idx="2">
                  <c:v>2.7100510919995009</c:v>
                </c:pt>
                <c:pt idx="3">
                  <c:v>2.6052028325654404</c:v>
                </c:pt>
                <c:pt idx="4">
                  <c:v>2.6369987332578591</c:v>
                </c:pt>
                <c:pt idx="5">
                  <c:v>2.6548001102769887</c:v>
                </c:pt>
                <c:pt idx="6">
                  <c:v>2.5333372616071097</c:v>
                </c:pt>
                <c:pt idx="7">
                  <c:v>2.4198784355038878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82-4A37-A513-85EB2368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66752"/>
        <c:axId val="126267328"/>
      </c:scatterChart>
      <c:valAx>
        <c:axId val="1262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7328"/>
        <c:crosses val="autoZero"/>
        <c:crossBetween val="midCat"/>
      </c:valAx>
      <c:valAx>
        <c:axId val="12626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PE"/>
          </a:p>
        </c:txPr>
        <c:crossAx val="1262667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P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</xdr:row>
      <xdr:rowOff>142875</xdr:rowOff>
    </xdr:from>
    <xdr:to>
      <xdr:col>21</xdr:col>
      <xdr:colOff>95250</xdr:colOff>
      <xdr:row>76</xdr:row>
      <xdr:rowOff>9525</xdr:rowOff>
    </xdr:to>
    <xdr:pic>
      <xdr:nvPicPr>
        <xdr:cNvPr id="11560" name="Picture 38">
          <a:extLst>
            <a:ext uri="{FF2B5EF4-FFF2-40B4-BE49-F238E27FC236}">
              <a16:creationId xmlns:a16="http://schemas.microsoft.com/office/drawing/2014/main" xmlns="" id="{71193E2A-B9F9-4732-8548-4E7F9E5B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610225"/>
          <a:ext cx="12954000" cy="731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9525</xdr:colOff>
      <xdr:row>14</xdr:row>
      <xdr:rowOff>76200</xdr:rowOff>
    </xdr:to>
    <xdr:graphicFrame macro="">
      <xdr:nvGraphicFramePr>
        <xdr:cNvPr id="1086232" name="1 Gráfico">
          <a:extLst>
            <a:ext uri="{FF2B5EF4-FFF2-40B4-BE49-F238E27FC236}">
              <a16:creationId xmlns:a16="http://schemas.microsoft.com/office/drawing/2014/main" xmlns="" id="{64BC87CA-8504-4970-A4AC-705030BAB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0</xdr:row>
      <xdr:rowOff>9525</xdr:rowOff>
    </xdr:from>
    <xdr:to>
      <xdr:col>12</xdr:col>
      <xdr:colOff>295275</xdr:colOff>
      <xdr:row>14</xdr:row>
      <xdr:rowOff>85725</xdr:rowOff>
    </xdr:to>
    <xdr:graphicFrame macro="">
      <xdr:nvGraphicFramePr>
        <xdr:cNvPr id="1086233" name="2 Gráfico">
          <a:extLst>
            <a:ext uri="{FF2B5EF4-FFF2-40B4-BE49-F238E27FC236}">
              <a16:creationId xmlns:a16="http://schemas.microsoft.com/office/drawing/2014/main" xmlns="" id="{FE0A2217-CB6C-4FD3-8279-5D4208433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32</xdr:row>
      <xdr:rowOff>85725</xdr:rowOff>
    </xdr:from>
    <xdr:to>
      <xdr:col>6</xdr:col>
      <xdr:colOff>428625</xdr:colOff>
      <xdr:row>46</xdr:row>
      <xdr:rowOff>161925</xdr:rowOff>
    </xdr:to>
    <xdr:graphicFrame macro="">
      <xdr:nvGraphicFramePr>
        <xdr:cNvPr id="1086234" name="3 Gráfico">
          <a:extLst>
            <a:ext uri="{FF2B5EF4-FFF2-40B4-BE49-F238E27FC236}">
              <a16:creationId xmlns:a16="http://schemas.microsoft.com/office/drawing/2014/main" xmlns="" id="{BAF3A9FE-CF4F-441B-9109-49A1E5ED1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31</xdr:row>
      <xdr:rowOff>171450</xdr:rowOff>
    </xdr:from>
    <xdr:to>
      <xdr:col>13</xdr:col>
      <xdr:colOff>19050</xdr:colOff>
      <xdr:row>46</xdr:row>
      <xdr:rowOff>57150</xdr:rowOff>
    </xdr:to>
    <xdr:graphicFrame macro="">
      <xdr:nvGraphicFramePr>
        <xdr:cNvPr id="1086235" name="4 Gráfico">
          <a:extLst>
            <a:ext uri="{FF2B5EF4-FFF2-40B4-BE49-F238E27FC236}">
              <a16:creationId xmlns:a16="http://schemas.microsoft.com/office/drawing/2014/main" xmlns="" id="{17D95713-D740-439A-9BBE-F5D341737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49</xdr:row>
      <xdr:rowOff>19050</xdr:rowOff>
    </xdr:from>
    <xdr:to>
      <xdr:col>6</xdr:col>
      <xdr:colOff>142875</xdr:colOff>
      <xdr:row>63</xdr:row>
      <xdr:rowOff>95250</xdr:rowOff>
    </xdr:to>
    <xdr:graphicFrame macro="">
      <xdr:nvGraphicFramePr>
        <xdr:cNvPr id="1086236" name="5 Gráfico">
          <a:extLst>
            <a:ext uri="{FF2B5EF4-FFF2-40B4-BE49-F238E27FC236}">
              <a16:creationId xmlns:a16="http://schemas.microsoft.com/office/drawing/2014/main" xmlns="" id="{AF33FAAD-13F7-424E-886E-9D25892E3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552450</xdr:colOff>
      <xdr:row>49</xdr:row>
      <xdr:rowOff>28575</xdr:rowOff>
    </xdr:from>
    <xdr:to>
      <xdr:col>12</xdr:col>
      <xdr:colOff>552450</xdr:colOff>
      <xdr:row>63</xdr:row>
      <xdr:rowOff>104775</xdr:rowOff>
    </xdr:to>
    <xdr:graphicFrame macro="">
      <xdr:nvGraphicFramePr>
        <xdr:cNvPr id="1086237" name="6 Gráfico">
          <a:extLst>
            <a:ext uri="{FF2B5EF4-FFF2-40B4-BE49-F238E27FC236}">
              <a16:creationId xmlns:a16="http://schemas.microsoft.com/office/drawing/2014/main" xmlns="" id="{BCCC1E58-E54B-4E37-8AAD-75326387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66</xdr:row>
      <xdr:rowOff>0</xdr:rowOff>
    </xdr:from>
    <xdr:to>
      <xdr:col>6</xdr:col>
      <xdr:colOff>95250</xdr:colOff>
      <xdr:row>80</xdr:row>
      <xdr:rowOff>76200</xdr:rowOff>
    </xdr:to>
    <xdr:graphicFrame macro="">
      <xdr:nvGraphicFramePr>
        <xdr:cNvPr id="1086238" name="7 Gráfico">
          <a:extLst>
            <a:ext uri="{FF2B5EF4-FFF2-40B4-BE49-F238E27FC236}">
              <a16:creationId xmlns:a16="http://schemas.microsoft.com/office/drawing/2014/main" xmlns="" id="{F0A04BD2-F33F-417D-9B31-42085BFCE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466725</xdr:colOff>
      <xdr:row>66</xdr:row>
      <xdr:rowOff>104775</xdr:rowOff>
    </xdr:from>
    <xdr:to>
      <xdr:col>12</xdr:col>
      <xdr:colOff>466725</xdr:colOff>
      <xdr:row>80</xdr:row>
      <xdr:rowOff>180975</xdr:rowOff>
    </xdr:to>
    <xdr:graphicFrame macro="">
      <xdr:nvGraphicFramePr>
        <xdr:cNvPr id="1086239" name="8 Gráfico">
          <a:extLst>
            <a:ext uri="{FF2B5EF4-FFF2-40B4-BE49-F238E27FC236}">
              <a16:creationId xmlns:a16="http://schemas.microsoft.com/office/drawing/2014/main" xmlns="" id="{97BA53E9-4311-4CE5-87B9-1CC13F885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15</xdr:row>
      <xdr:rowOff>47625</xdr:rowOff>
    </xdr:from>
    <xdr:to>
      <xdr:col>6</xdr:col>
      <xdr:colOff>47625</xdr:colOff>
      <xdr:row>29</xdr:row>
      <xdr:rowOff>123825</xdr:rowOff>
    </xdr:to>
    <xdr:graphicFrame macro="">
      <xdr:nvGraphicFramePr>
        <xdr:cNvPr id="1086241" name="10 Gráfico">
          <a:extLst>
            <a:ext uri="{FF2B5EF4-FFF2-40B4-BE49-F238E27FC236}">
              <a16:creationId xmlns:a16="http://schemas.microsoft.com/office/drawing/2014/main" xmlns="" id="{FC201E72-E64F-4927-9AB4-9BD51DB4A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257175</xdr:colOff>
      <xdr:row>15</xdr:row>
      <xdr:rowOff>66675</xdr:rowOff>
    </xdr:from>
    <xdr:to>
      <xdr:col>12</xdr:col>
      <xdr:colOff>257175</xdr:colOff>
      <xdr:row>29</xdr:row>
      <xdr:rowOff>142875</xdr:rowOff>
    </xdr:to>
    <xdr:graphicFrame macro="">
      <xdr:nvGraphicFramePr>
        <xdr:cNvPr id="1086242" name="12 Gráfico">
          <a:extLst>
            <a:ext uri="{FF2B5EF4-FFF2-40B4-BE49-F238E27FC236}">
              <a16:creationId xmlns:a16="http://schemas.microsoft.com/office/drawing/2014/main" xmlns="" id="{28CBB595-5351-4E2B-881B-8A6FA4B3E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90" zoomScaleNormal="90" workbookViewId="0">
      <pane xSplit="1" ySplit="4" topLeftCell="B32" activePane="bottomRight" state="frozenSplit"/>
      <selection pane="topRight" activeCell="B1" sqref="B1"/>
      <selection pane="bottomLeft" activeCell="A5" sqref="A5"/>
      <selection pane="bottomRight" activeCell="E54" sqref="E54"/>
    </sheetView>
  </sheetViews>
  <sheetFormatPr baseColWidth="10" defaultColWidth="11.42578125" defaultRowHeight="13.5" x14ac:dyDescent="0.25"/>
  <cols>
    <col min="1" max="1" width="50.85546875" style="4" customWidth="1"/>
    <col min="2" max="2" width="15.85546875" style="14" bestFit="1" customWidth="1"/>
    <col min="3" max="3" width="6.140625" style="4" customWidth="1"/>
    <col min="4" max="4" width="10" style="4" customWidth="1"/>
    <col min="5" max="5" width="12.7109375" style="4" bestFit="1" customWidth="1"/>
    <col min="6" max="6" width="11.42578125" style="4"/>
    <col min="7" max="7" width="21.85546875" style="4" customWidth="1"/>
    <col min="8" max="16384" width="11.42578125" style="4"/>
  </cols>
  <sheetData>
    <row r="1" spans="1:6" ht="15" x14ac:dyDescent="0.25">
      <c r="A1" s="404" t="s">
        <v>0</v>
      </c>
      <c r="B1" s="404"/>
      <c r="C1" s="404"/>
      <c r="D1" s="404"/>
      <c r="E1" s="404"/>
    </row>
    <row r="2" spans="1:6" x14ac:dyDescent="0.25">
      <c r="A2" s="17"/>
      <c r="B2" s="18"/>
      <c r="C2" s="17"/>
      <c r="D2" s="17"/>
      <c r="E2" s="17"/>
      <c r="F2" s="3"/>
    </row>
    <row r="3" spans="1:6" s="6" customFormat="1" ht="13.5" customHeight="1" x14ac:dyDescent="0.25">
      <c r="A3" s="405" t="s">
        <v>1</v>
      </c>
      <c r="B3" s="405" t="s">
        <v>2</v>
      </c>
      <c r="C3" s="405" t="s">
        <v>3</v>
      </c>
      <c r="D3" s="405" t="s">
        <v>4</v>
      </c>
      <c r="E3" s="405" t="s">
        <v>5</v>
      </c>
      <c r="F3" s="5"/>
    </row>
    <row r="4" spans="1:6" s="6" customFormat="1" x14ac:dyDescent="0.25">
      <c r="A4" s="405"/>
      <c r="B4" s="405"/>
      <c r="C4" s="405"/>
      <c r="D4" s="405"/>
      <c r="E4" s="405"/>
      <c r="F4" s="5"/>
    </row>
    <row r="5" spans="1:6" ht="21.75" customHeight="1" x14ac:dyDescent="0.3">
      <c r="A5" s="134" t="s">
        <v>6</v>
      </c>
      <c r="B5" s="135"/>
      <c r="C5" s="136"/>
      <c r="D5" s="136"/>
      <c r="E5" s="137"/>
    </row>
    <row r="6" spans="1:6" ht="31.5" customHeight="1" x14ac:dyDescent="0.3">
      <c r="A6" s="254" t="s">
        <v>7</v>
      </c>
      <c r="B6" s="255"/>
      <c r="C6" s="256"/>
      <c r="D6" s="256"/>
      <c r="E6" s="257"/>
    </row>
    <row r="7" spans="1:6" ht="15" x14ac:dyDescent="0.3">
      <c r="A7" s="172" t="s">
        <v>8</v>
      </c>
      <c r="B7" s="139"/>
      <c r="C7" s="140"/>
      <c r="D7" s="140"/>
      <c r="E7" s="141">
        <f>SUM(E8:E17)</f>
        <v>17460</v>
      </c>
    </row>
    <row r="8" spans="1:6" ht="15" x14ac:dyDescent="0.25">
      <c r="A8" s="307" t="s">
        <v>9</v>
      </c>
      <c r="B8" s="19">
        <v>1800</v>
      </c>
      <c r="C8" s="8">
        <v>2</v>
      </c>
      <c r="D8" s="8" t="s">
        <v>10</v>
      </c>
      <c r="E8" s="20">
        <f t="shared" ref="E8:E17" si="0">B8*C8</f>
        <v>3600</v>
      </c>
    </row>
    <row r="9" spans="1:6" ht="15" x14ac:dyDescent="0.25">
      <c r="A9" s="309" t="s">
        <v>11</v>
      </c>
      <c r="B9" s="19">
        <v>50</v>
      </c>
      <c r="C9" s="8">
        <v>1</v>
      </c>
      <c r="D9" s="8" t="s">
        <v>10</v>
      </c>
      <c r="E9" s="20">
        <f t="shared" si="0"/>
        <v>50</v>
      </c>
    </row>
    <row r="10" spans="1:6" ht="15" x14ac:dyDescent="0.25">
      <c r="A10" s="309" t="s">
        <v>12</v>
      </c>
      <c r="B10" s="19">
        <v>700</v>
      </c>
      <c r="C10" s="8">
        <v>1</v>
      </c>
      <c r="D10" s="8" t="s">
        <v>10</v>
      </c>
      <c r="E10" s="20">
        <f t="shared" si="0"/>
        <v>700</v>
      </c>
    </row>
    <row r="11" spans="1:6" ht="15" x14ac:dyDescent="0.25">
      <c r="A11" s="307" t="s">
        <v>13</v>
      </c>
      <c r="B11" s="19">
        <v>1800</v>
      </c>
      <c r="C11" s="8">
        <v>1</v>
      </c>
      <c r="D11" s="8" t="s">
        <v>10</v>
      </c>
      <c r="E11" s="20">
        <f t="shared" si="0"/>
        <v>1800</v>
      </c>
    </row>
    <row r="12" spans="1:6" ht="15" x14ac:dyDescent="0.25">
      <c r="A12" s="307" t="s">
        <v>14</v>
      </c>
      <c r="B12" s="19">
        <v>4200</v>
      </c>
      <c r="C12" s="8">
        <v>1</v>
      </c>
      <c r="D12" s="8" t="s">
        <v>10</v>
      </c>
      <c r="E12" s="20">
        <f t="shared" si="0"/>
        <v>4200</v>
      </c>
    </row>
    <row r="13" spans="1:6" ht="15" x14ac:dyDescent="0.25">
      <c r="A13" s="307" t="s">
        <v>15</v>
      </c>
      <c r="B13" s="19">
        <v>4500</v>
      </c>
      <c r="C13" s="8">
        <v>1</v>
      </c>
      <c r="D13" s="8" t="s">
        <v>10</v>
      </c>
      <c r="E13" s="20">
        <f t="shared" si="0"/>
        <v>4500</v>
      </c>
    </row>
    <row r="14" spans="1:6" ht="15" x14ac:dyDescent="0.25">
      <c r="A14" s="307" t="s">
        <v>16</v>
      </c>
      <c r="B14" s="19">
        <v>180</v>
      </c>
      <c r="C14" s="8">
        <v>2</v>
      </c>
      <c r="D14" s="8" t="s">
        <v>10</v>
      </c>
      <c r="E14" s="20">
        <f t="shared" si="0"/>
        <v>360</v>
      </c>
    </row>
    <row r="15" spans="1:6" ht="15" x14ac:dyDescent="0.25">
      <c r="A15" s="307" t="s">
        <v>17</v>
      </c>
      <c r="B15" s="19">
        <v>500</v>
      </c>
      <c r="C15" s="8">
        <v>1</v>
      </c>
      <c r="D15" s="8" t="s">
        <v>10</v>
      </c>
      <c r="E15" s="20">
        <f t="shared" si="0"/>
        <v>500</v>
      </c>
    </row>
    <row r="16" spans="1:6" ht="15" x14ac:dyDescent="0.25">
      <c r="A16" s="307" t="s">
        <v>18</v>
      </c>
      <c r="B16" s="19">
        <v>1200</v>
      </c>
      <c r="C16" s="8">
        <v>1</v>
      </c>
      <c r="D16" s="8" t="s">
        <v>10</v>
      </c>
      <c r="E16" s="20">
        <f t="shared" si="0"/>
        <v>1200</v>
      </c>
    </row>
    <row r="17" spans="1:5" ht="15" x14ac:dyDescent="0.25">
      <c r="A17" s="307" t="s">
        <v>19</v>
      </c>
      <c r="B17" s="19">
        <v>550</v>
      </c>
      <c r="C17" s="8">
        <v>1</v>
      </c>
      <c r="D17" s="8" t="s">
        <v>10</v>
      </c>
      <c r="E17" s="20">
        <f t="shared" si="0"/>
        <v>550</v>
      </c>
    </row>
    <row r="18" spans="1:5" ht="15" x14ac:dyDescent="0.3">
      <c r="A18" s="172" t="s">
        <v>20</v>
      </c>
      <c r="B18" s="139"/>
      <c r="C18" s="140"/>
      <c r="D18" s="140"/>
      <c r="E18" s="141">
        <f>SUM(E19:E29)</f>
        <v>14958</v>
      </c>
    </row>
    <row r="19" spans="1:5" ht="15" x14ac:dyDescent="0.25">
      <c r="A19" s="307" t="s">
        <v>21</v>
      </c>
      <c r="B19" s="19">
        <v>160</v>
      </c>
      <c r="C19" s="308">
        <v>14</v>
      </c>
      <c r="D19" s="8" t="s">
        <v>10</v>
      </c>
      <c r="E19" s="20">
        <f t="shared" ref="E19:E29" si="1">B19*C19</f>
        <v>2240</v>
      </c>
    </row>
    <row r="20" spans="1:5" ht="15" x14ac:dyDescent="0.25">
      <c r="A20" s="307" t="s">
        <v>22</v>
      </c>
      <c r="B20" s="19">
        <v>160</v>
      </c>
      <c r="C20" s="308">
        <v>48</v>
      </c>
      <c r="D20" s="8" t="s">
        <v>10</v>
      </c>
      <c r="E20" s="20">
        <f t="shared" si="1"/>
        <v>7680</v>
      </c>
    </row>
    <row r="21" spans="1:5" ht="15" x14ac:dyDescent="0.25">
      <c r="A21" s="307" t="s">
        <v>23</v>
      </c>
      <c r="B21" s="19">
        <v>2000</v>
      </c>
      <c r="C21" s="308">
        <v>1</v>
      </c>
      <c r="D21" s="8" t="s">
        <v>10</v>
      </c>
      <c r="E21" s="20">
        <f t="shared" si="1"/>
        <v>2000</v>
      </c>
    </row>
    <row r="22" spans="1:5" ht="15" x14ac:dyDescent="0.25">
      <c r="A22" s="307" t="s">
        <v>24</v>
      </c>
      <c r="B22" s="19">
        <v>250</v>
      </c>
      <c r="C22" s="308">
        <v>1</v>
      </c>
      <c r="D22" s="8" t="s">
        <v>10</v>
      </c>
      <c r="E22" s="20">
        <f t="shared" si="1"/>
        <v>250</v>
      </c>
    </row>
    <row r="23" spans="1:5" ht="15" x14ac:dyDescent="0.25">
      <c r="A23" s="307" t="s">
        <v>25</v>
      </c>
      <c r="B23" s="19">
        <v>700</v>
      </c>
      <c r="C23" s="308">
        <v>1</v>
      </c>
      <c r="D23" s="8" t="s">
        <v>10</v>
      </c>
      <c r="E23" s="20">
        <f t="shared" si="1"/>
        <v>700</v>
      </c>
    </row>
    <row r="24" spans="1:5" ht="15" x14ac:dyDescent="0.25">
      <c r="A24" s="377" t="s">
        <v>26</v>
      </c>
      <c r="B24" s="19">
        <v>9</v>
      </c>
      <c r="C24" s="378">
        <v>96</v>
      </c>
      <c r="D24" s="8" t="s">
        <v>27</v>
      </c>
      <c r="E24" s="20">
        <f t="shared" si="1"/>
        <v>864</v>
      </c>
    </row>
    <row r="25" spans="1:5" ht="15" x14ac:dyDescent="0.25">
      <c r="A25" s="377" t="s">
        <v>28</v>
      </c>
      <c r="B25" s="19">
        <v>2</v>
      </c>
      <c r="C25" s="378">
        <v>96</v>
      </c>
      <c r="D25" s="8" t="s">
        <v>27</v>
      </c>
      <c r="E25" s="20">
        <f t="shared" si="1"/>
        <v>192</v>
      </c>
    </row>
    <row r="26" spans="1:5" ht="15" x14ac:dyDescent="0.25">
      <c r="A26" s="377" t="s">
        <v>29</v>
      </c>
      <c r="B26" s="19">
        <v>2</v>
      </c>
      <c r="C26" s="378">
        <v>96</v>
      </c>
      <c r="D26" s="8" t="s">
        <v>27</v>
      </c>
      <c r="E26" s="20">
        <f t="shared" si="1"/>
        <v>192</v>
      </c>
    </row>
    <row r="27" spans="1:5" ht="15" x14ac:dyDescent="0.25">
      <c r="A27" s="377" t="s">
        <v>30</v>
      </c>
      <c r="B27" s="19">
        <v>600</v>
      </c>
      <c r="C27" s="378">
        <v>1</v>
      </c>
      <c r="D27" s="8" t="s">
        <v>27</v>
      </c>
      <c r="E27" s="20">
        <f t="shared" si="1"/>
        <v>600</v>
      </c>
    </row>
    <row r="28" spans="1:5" ht="15" x14ac:dyDescent="0.25">
      <c r="A28" s="377" t="s">
        <v>31</v>
      </c>
      <c r="B28" s="19">
        <v>1.5</v>
      </c>
      <c r="C28" s="378">
        <v>96</v>
      </c>
      <c r="D28" s="8" t="s">
        <v>27</v>
      </c>
      <c r="E28" s="20">
        <f t="shared" si="1"/>
        <v>144</v>
      </c>
    </row>
    <row r="29" spans="1:5" ht="15" x14ac:dyDescent="0.25">
      <c r="A29" s="377" t="s">
        <v>32</v>
      </c>
      <c r="B29" s="19">
        <v>1</v>
      </c>
      <c r="C29" s="378">
        <v>96</v>
      </c>
      <c r="D29" s="8" t="s">
        <v>27</v>
      </c>
      <c r="E29" s="20">
        <f t="shared" si="1"/>
        <v>96</v>
      </c>
    </row>
    <row r="30" spans="1:5" ht="15" x14ac:dyDescent="0.3">
      <c r="A30" s="171" t="s">
        <v>33</v>
      </c>
      <c r="B30" s="142"/>
      <c r="C30" s="140"/>
      <c r="D30" s="140"/>
      <c r="E30" s="141">
        <f>SUM(E31:E32)</f>
        <v>230</v>
      </c>
    </row>
    <row r="31" spans="1:5" ht="15" x14ac:dyDescent="0.25">
      <c r="A31" s="310" t="s">
        <v>34</v>
      </c>
      <c r="B31" s="310">
        <v>180</v>
      </c>
      <c r="C31" s="8">
        <v>1</v>
      </c>
      <c r="D31" s="8" t="s">
        <v>10</v>
      </c>
      <c r="E31" s="20">
        <f>B31*C31</f>
        <v>180</v>
      </c>
    </row>
    <row r="32" spans="1:5" ht="15" x14ac:dyDescent="0.25">
      <c r="A32" s="310" t="s">
        <v>35</v>
      </c>
      <c r="B32" s="310">
        <v>50</v>
      </c>
      <c r="C32" s="8">
        <v>1</v>
      </c>
      <c r="D32" s="8" t="s">
        <v>10</v>
      </c>
      <c r="E32" s="20">
        <f>B32*C32</f>
        <v>50</v>
      </c>
    </row>
    <row r="33" spans="1:5" ht="18" customHeight="1" x14ac:dyDescent="0.3">
      <c r="A33" s="143" t="s">
        <v>36</v>
      </c>
      <c r="B33" s="144"/>
      <c r="C33" s="145"/>
      <c r="D33" s="145"/>
      <c r="E33" s="146">
        <f>E18+E30+E7</f>
        <v>32648</v>
      </c>
    </row>
    <row r="34" spans="1:5" ht="22.5" customHeight="1" x14ac:dyDescent="0.3">
      <c r="A34" s="147"/>
      <c r="B34" s="148"/>
      <c r="C34" s="149"/>
      <c r="D34" s="149"/>
      <c r="E34" s="150"/>
    </row>
    <row r="35" spans="1:5" ht="30" customHeight="1" x14ac:dyDescent="0.25">
      <c r="A35" s="258" t="s">
        <v>37</v>
      </c>
      <c r="B35" s="259"/>
      <c r="C35" s="260"/>
      <c r="D35" s="260"/>
      <c r="E35" s="261"/>
    </row>
    <row r="36" spans="1:5" x14ac:dyDescent="0.25">
      <c r="A36" s="9" t="s">
        <v>38</v>
      </c>
      <c r="B36" s="21">
        <v>100</v>
      </c>
      <c r="C36" s="10">
        <v>1</v>
      </c>
      <c r="D36" s="10" t="s">
        <v>39</v>
      </c>
      <c r="E36" s="23">
        <f>B36*C36</f>
        <v>100</v>
      </c>
    </row>
    <row r="37" spans="1:5" x14ac:dyDescent="0.25">
      <c r="A37" s="7" t="s">
        <v>40</v>
      </c>
      <c r="B37" s="19">
        <v>180</v>
      </c>
      <c r="C37" s="8">
        <v>1</v>
      </c>
      <c r="D37" s="8" t="s">
        <v>41</v>
      </c>
      <c r="E37" s="20">
        <f>B37*C37</f>
        <v>180</v>
      </c>
    </row>
    <row r="38" spans="1:5" x14ac:dyDescent="0.25">
      <c r="A38" s="11" t="s">
        <v>42</v>
      </c>
      <c r="B38" s="22">
        <v>150</v>
      </c>
      <c r="C38" s="12">
        <v>1</v>
      </c>
      <c r="D38" s="8" t="s">
        <v>41</v>
      </c>
      <c r="E38" s="20">
        <f>B38*C38</f>
        <v>150</v>
      </c>
    </row>
    <row r="39" spans="1:5" x14ac:dyDescent="0.25">
      <c r="A39" s="11" t="s">
        <v>43</v>
      </c>
      <c r="B39" s="22">
        <v>0</v>
      </c>
      <c r="C39" s="12">
        <v>1</v>
      </c>
      <c r="D39" s="8" t="s">
        <v>41</v>
      </c>
      <c r="E39" s="20">
        <f t="shared" ref="E39:E45" si="2">B39*C39</f>
        <v>0</v>
      </c>
    </row>
    <row r="40" spans="1:5" x14ac:dyDescent="0.25">
      <c r="A40" s="11" t="s">
        <v>44</v>
      </c>
      <c r="B40" s="22">
        <v>500</v>
      </c>
      <c r="C40" s="12">
        <v>1</v>
      </c>
      <c r="D40" s="8" t="s">
        <v>41</v>
      </c>
      <c r="E40" s="20">
        <f t="shared" si="2"/>
        <v>500</v>
      </c>
    </row>
    <row r="41" spans="1:5" x14ac:dyDescent="0.25">
      <c r="A41" s="11" t="s">
        <v>45</v>
      </c>
      <c r="B41" s="22">
        <v>18</v>
      </c>
      <c r="C41" s="12">
        <v>1</v>
      </c>
      <c r="D41" s="8" t="s">
        <v>41</v>
      </c>
      <c r="E41" s="20">
        <f t="shared" si="2"/>
        <v>18</v>
      </c>
    </row>
    <row r="42" spans="1:5" x14ac:dyDescent="0.25">
      <c r="A42" s="11" t="s">
        <v>46</v>
      </c>
      <c r="B42" s="22">
        <v>300</v>
      </c>
      <c r="C42" s="12">
        <v>1</v>
      </c>
      <c r="D42" s="8" t="s">
        <v>41</v>
      </c>
      <c r="E42" s="20">
        <f t="shared" si="2"/>
        <v>300</v>
      </c>
    </row>
    <row r="43" spans="1:5" x14ac:dyDescent="0.25">
      <c r="A43" s="11" t="s">
        <v>47</v>
      </c>
      <c r="B43" s="22">
        <v>300</v>
      </c>
      <c r="C43" s="12">
        <v>1</v>
      </c>
      <c r="D43" s="8" t="s">
        <v>41</v>
      </c>
      <c r="E43" s="20">
        <f t="shared" si="2"/>
        <v>300</v>
      </c>
    </row>
    <row r="44" spans="1:5" x14ac:dyDescent="0.25">
      <c r="A44" s="11" t="s">
        <v>48</v>
      </c>
      <c r="B44" s="22">
        <v>300</v>
      </c>
      <c r="C44" s="12">
        <v>1</v>
      </c>
      <c r="D44" s="8" t="s">
        <v>41</v>
      </c>
      <c r="E44" s="20">
        <f t="shared" si="2"/>
        <v>300</v>
      </c>
    </row>
    <row r="45" spans="1:5" x14ac:dyDescent="0.25">
      <c r="A45" s="11" t="s">
        <v>49</v>
      </c>
      <c r="B45" s="22">
        <v>200</v>
      </c>
      <c r="C45" s="12">
        <v>1</v>
      </c>
      <c r="D45" s="8" t="s">
        <v>41</v>
      </c>
      <c r="E45" s="20">
        <f t="shared" si="2"/>
        <v>200</v>
      </c>
    </row>
    <row r="46" spans="1:5" x14ac:dyDescent="0.25">
      <c r="A46" s="11" t="s">
        <v>50</v>
      </c>
      <c r="B46" s="22">
        <v>120</v>
      </c>
      <c r="C46" s="12">
        <v>1</v>
      </c>
      <c r="D46" s="12" t="s">
        <v>10</v>
      </c>
      <c r="E46" s="24">
        <f>B46*C46</f>
        <v>120</v>
      </c>
    </row>
    <row r="47" spans="1:5" x14ac:dyDescent="0.25">
      <c r="A47" s="11" t="s">
        <v>51</v>
      </c>
      <c r="B47" s="22">
        <v>25</v>
      </c>
      <c r="C47" s="12">
        <v>1</v>
      </c>
      <c r="D47" s="12" t="s">
        <v>10</v>
      </c>
      <c r="E47" s="24">
        <f>B47*C47</f>
        <v>25</v>
      </c>
    </row>
    <row r="48" spans="1:5" ht="15" x14ac:dyDescent="0.3">
      <c r="A48" s="155" t="s">
        <v>52</v>
      </c>
      <c r="B48" s="156"/>
      <c r="C48" s="157"/>
      <c r="D48" s="157"/>
      <c r="E48" s="158">
        <f>SUM(E36:E47)</f>
        <v>2193</v>
      </c>
    </row>
    <row r="49" spans="1:7" ht="21.75" customHeight="1" x14ac:dyDescent="0.3">
      <c r="A49" s="159" t="s">
        <v>53</v>
      </c>
      <c r="B49" s="160"/>
      <c r="C49" s="161"/>
      <c r="D49" s="161"/>
      <c r="E49" s="162">
        <f>E48+E33</f>
        <v>34841</v>
      </c>
    </row>
    <row r="50" spans="1:7" ht="15" x14ac:dyDescent="0.3">
      <c r="A50" s="151"/>
      <c r="B50" s="152"/>
      <c r="C50" s="153"/>
      <c r="D50" s="153"/>
      <c r="E50" s="154"/>
    </row>
    <row r="51" spans="1:7" ht="15" customHeight="1" x14ac:dyDescent="0.25">
      <c r="A51" s="262" t="s">
        <v>54</v>
      </c>
      <c r="B51" s="263"/>
      <c r="C51" s="264"/>
      <c r="D51" s="264"/>
      <c r="E51" s="265"/>
    </row>
    <row r="52" spans="1:7" ht="15.75" x14ac:dyDescent="0.3">
      <c r="A52" s="170"/>
      <c r="B52" s="166"/>
      <c r="C52" s="167"/>
      <c r="D52" s="168"/>
      <c r="E52" s="169"/>
    </row>
    <row r="53" spans="1:7" ht="14.25" x14ac:dyDescent="0.25">
      <c r="A53" s="129" t="s">
        <v>55</v>
      </c>
      <c r="B53" s="22"/>
      <c r="C53" s="12">
        <v>1</v>
      </c>
      <c r="D53" s="8" t="s">
        <v>10</v>
      </c>
      <c r="E53" s="19">
        <f>'PLANILLA DE EMPLEADOS'!J21</f>
        <v>4033</v>
      </c>
    </row>
    <row r="54" spans="1:7" ht="14.25" customHeight="1" x14ac:dyDescent="0.25">
      <c r="A54" s="129" t="s">
        <v>56</v>
      </c>
      <c r="B54" s="22"/>
      <c r="C54" s="12">
        <v>1</v>
      </c>
      <c r="D54" s="8" t="s">
        <v>10</v>
      </c>
      <c r="E54" s="19">
        <f>'GASTOS INDIRECTOS'!E5</f>
        <v>440</v>
      </c>
    </row>
    <row r="55" spans="1:7" ht="14.25" x14ac:dyDescent="0.25">
      <c r="A55" s="129" t="s">
        <v>57</v>
      </c>
      <c r="B55" s="22"/>
      <c r="C55" s="12">
        <v>1</v>
      </c>
      <c r="D55" s="8" t="s">
        <v>10</v>
      </c>
      <c r="E55" s="19">
        <f>'PRESUPUESTO DE GASTOS'!B6</f>
        <v>32107.599999999999</v>
      </c>
      <c r="G55" s="335"/>
    </row>
    <row r="56" spans="1:7" ht="15" x14ac:dyDescent="0.3">
      <c r="A56" s="210" t="s">
        <v>58</v>
      </c>
      <c r="B56" s="327"/>
      <c r="C56" s="210"/>
      <c r="D56" s="210"/>
      <c r="E56" s="211">
        <f>SUM(E53:E55)</f>
        <v>36580.6</v>
      </c>
    </row>
    <row r="57" spans="1:7" ht="24.75" customHeight="1" x14ac:dyDescent="0.3">
      <c r="A57" s="163" t="s">
        <v>59</v>
      </c>
      <c r="B57" s="164"/>
      <c r="C57" s="165"/>
      <c r="D57" s="165"/>
      <c r="E57" s="358">
        <f>E56+E49</f>
        <v>71421.600000000006</v>
      </c>
    </row>
    <row r="58" spans="1:7" x14ac:dyDescent="0.25">
      <c r="A58" s="4" t="s">
        <v>60</v>
      </c>
    </row>
    <row r="59" spans="1:7" x14ac:dyDescent="0.25">
      <c r="A59" s="13"/>
      <c r="B59" s="332"/>
    </row>
    <row r="60" spans="1:7" x14ac:dyDescent="0.25">
      <c r="A60" s="15"/>
      <c r="C60" s="16"/>
      <c r="D60" s="16"/>
      <c r="E60" s="16"/>
    </row>
    <row r="61" spans="1:7" x14ac:dyDescent="0.25">
      <c r="A61" s="13"/>
    </row>
    <row r="62" spans="1:7" x14ac:dyDescent="0.25">
      <c r="A62" s="13"/>
    </row>
    <row r="63" spans="1:7" x14ac:dyDescent="0.25">
      <c r="A63" s="13"/>
    </row>
    <row r="64" spans="1:7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</sheetData>
  <mergeCells count="6">
    <mergeCell ref="A1:E1"/>
    <mergeCell ref="A3:A4"/>
    <mergeCell ref="B3:B4"/>
    <mergeCell ref="C3:C4"/>
    <mergeCell ref="D3:D4"/>
    <mergeCell ref="E3:E4"/>
  </mergeCells>
  <pageMargins left="0.38" right="0.49" top="0.43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showGridLines="0" workbookViewId="0">
      <pane xSplit="3" ySplit="3" topLeftCell="D4" activePane="bottomRight" state="frozenSplit"/>
      <selection pane="topRight" activeCell="D1" sqref="D1"/>
      <selection pane="bottomLeft" activeCell="A3" sqref="A3"/>
      <selection pane="bottomRight" activeCell="G11" sqref="G11"/>
    </sheetView>
  </sheetViews>
  <sheetFormatPr baseColWidth="10" defaultColWidth="11.42578125" defaultRowHeight="16.5" x14ac:dyDescent="0.3"/>
  <cols>
    <col min="1" max="1" width="5.28515625" style="1" customWidth="1"/>
    <col min="2" max="2" width="11.42578125" style="1"/>
    <col min="3" max="3" width="23.85546875" style="1" customWidth="1"/>
    <col min="4" max="6" width="11" style="1" bestFit="1" customWidth="1"/>
    <col min="7" max="11" width="11.42578125" style="1" bestFit="1" customWidth="1"/>
    <col min="12" max="12" width="11.42578125" style="1"/>
    <col min="13" max="13" width="12.5703125" style="1" customWidth="1"/>
    <col min="14" max="16384" width="11.42578125" style="1"/>
  </cols>
  <sheetData>
    <row r="1" spans="1:11" x14ac:dyDescent="0.3">
      <c r="A1" s="416" t="s">
        <v>191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x14ac:dyDescent="0.3">
      <c r="A2" s="394"/>
      <c r="B2" s="394"/>
      <c r="C2" s="394"/>
      <c r="D2" s="394"/>
      <c r="E2" s="394"/>
    </row>
    <row r="3" spans="1:11" s="79" customFormat="1" ht="35.25" customHeight="1" x14ac:dyDescent="0.3">
      <c r="A3" s="414" t="s">
        <v>192</v>
      </c>
      <c r="B3" s="415"/>
      <c r="C3" s="415"/>
      <c r="D3" s="212" t="s">
        <v>193</v>
      </c>
      <c r="E3" s="212" t="s">
        <v>194</v>
      </c>
      <c r="F3" s="212" t="s">
        <v>195</v>
      </c>
      <c r="G3" s="212" t="s">
        <v>196</v>
      </c>
      <c r="H3" s="212" t="s">
        <v>197</v>
      </c>
      <c r="I3" s="212" t="s">
        <v>198</v>
      </c>
      <c r="J3" s="212" t="s">
        <v>199</v>
      </c>
      <c r="K3" s="212" t="s">
        <v>200</v>
      </c>
    </row>
    <row r="4" spans="1:11" x14ac:dyDescent="0.3">
      <c r="A4" s="266">
        <v>1</v>
      </c>
      <c r="B4" s="267" t="s">
        <v>201</v>
      </c>
      <c r="C4" s="268"/>
      <c r="D4" s="269"/>
      <c r="E4" s="269"/>
      <c r="F4" s="269"/>
      <c r="G4" s="269"/>
      <c r="H4" s="269"/>
      <c r="I4" s="269"/>
      <c r="J4" s="269"/>
      <c r="K4" s="270"/>
    </row>
    <row r="5" spans="1:11" x14ac:dyDescent="0.3">
      <c r="A5" s="229">
        <v>1.1000000000000001</v>
      </c>
      <c r="B5" s="219" t="s">
        <v>202</v>
      </c>
      <c r="C5" s="220"/>
      <c r="D5" s="230"/>
      <c r="E5" s="230"/>
      <c r="F5" s="230"/>
      <c r="G5" s="230"/>
      <c r="H5" s="230"/>
      <c r="I5" s="230"/>
      <c r="J5" s="230"/>
      <c r="K5" s="231"/>
    </row>
    <row r="6" spans="1:11" x14ac:dyDescent="0.3">
      <c r="A6" s="80" t="s">
        <v>203</v>
      </c>
      <c r="B6" s="82" t="s">
        <v>204</v>
      </c>
      <c r="C6" s="83" t="s">
        <v>205</v>
      </c>
      <c r="D6" s="85">
        <f>'FLUJO DE CAJA ECON FINANCI'!C17+'FLUJO DE CAJA ECON FINANCI'!D17+'FLUJO DE CAJA ECON FINANCI'!E17+'ESTADO DE GANACIAS Y PERDIDAS'!B38</f>
        <v>81010.17505557953</v>
      </c>
      <c r="E6" s="85">
        <f>'FLUJO DE CAJA ECON FINANCI'!F17+'FLUJO DE CAJA ECON FINANCI'!G17+'FLUJO DE CAJA ECON FINANCI'!H17+'ESTADO DE GANACIAS Y PERDIDAS'!C38</f>
        <v>48724.135055579529</v>
      </c>
      <c r="F6" s="85">
        <f>'FLUJO DE CAJA ECON FINANCI'!I17+'FLUJO DE CAJA ECON FINANCI'!J17+'FLUJO DE CAJA ECON FINANCI'!K17+'ESTADO DE GANACIAS Y PERDIDAS'!D38</f>
        <v>81021.295055579525</v>
      </c>
      <c r="G6" s="85">
        <f>'FLUJO DE CAJA ECON FINANCI'!L17+'FLUJO DE CAJA ECON FINANCI'!M17+'FLUJO DE CAJA ECON FINANCI'!N17+'ESTADO DE GANACIAS Y PERDIDAS'!E38</f>
        <v>79500.075055579524</v>
      </c>
      <c r="H6" s="85">
        <f>'FLUJO DE CAJA ECON FINANCI'!O17+'FLUJO DE CAJA ECON FINANCI'!P17+'FLUJO DE CAJA ECON FINANCI'!Q17+'ESTADO DE GANACIAS Y PERDIDAS'!F38</f>
        <v>83030.930963895706</v>
      </c>
      <c r="I6" s="85">
        <f>'FLUJO DE CAJA ECON FINANCI'!R17+'FLUJO DE CAJA ECON FINANCI'!S17+'FLUJO DE CAJA ECON FINANCI'!T17+'ESTADO DE GANACIAS Y PERDIDAS'!G38</f>
        <v>85554.583873094467</v>
      </c>
      <c r="J6" s="85">
        <f>'FLUJO DE CAJA ECON FINANCI'!U17+'FLUJO DE CAJA ECON FINANCI'!V17+'FLUJO DE CAJA ECON FINANCI'!W17+'ESTADO DE GANACIAS Y PERDIDAS'!H38</f>
        <v>82941.747782926162</v>
      </c>
      <c r="K6" s="85">
        <f>'FLUJO DE CAJA ECON FINANCI'!X17+'FLUJO DE CAJA ECON FINANCI'!Y17+'FLUJO DE CAJA ECON FINANCI'!Z17+'ESTADO DE GANACIAS Y PERDIDAS'!I38</f>
        <v>81363.76041400485</v>
      </c>
    </row>
    <row r="7" spans="1:11" x14ac:dyDescent="0.3">
      <c r="A7" s="80"/>
      <c r="B7" s="82" t="s">
        <v>206</v>
      </c>
      <c r="C7" s="83" t="s">
        <v>207</v>
      </c>
      <c r="D7" s="85">
        <f>+('INGRESO POR VENTAS'!C31+'INGRESO POR VENTAS'!D31+'INGRESO POR VENTAS'!E31)*0.05</f>
        <v>10038</v>
      </c>
      <c r="E7" s="85">
        <f>+('INGRESO POR VENTAS'!D31+'INGRESO POR VENTAS'!E31+'INGRESO POR VENTAS'!F31)*0.05</f>
        <v>8365</v>
      </c>
      <c r="F7" s="85">
        <f>+('INGRESO POR VENTAS'!E31+'INGRESO POR VENTAS'!F31+'INGRESO POR VENTAS'!G31)*0.05</f>
        <v>8365</v>
      </c>
      <c r="G7" s="85">
        <f>+('INGRESO POR VENTAS'!F31+'INGRESO POR VENTAS'!G31+'INGRESO POR VENTAS'!H31)*0.05</f>
        <v>6692</v>
      </c>
      <c r="H7" s="85">
        <f>+('INGRESO POR VENTAS'!G31+'INGRESO POR VENTAS'!H31+'INGRESO POR VENTAS'!I31)*0.05</f>
        <v>8365</v>
      </c>
      <c r="I7" s="85">
        <f>+('INGRESO POR VENTAS'!H31+'INGRESO POR VENTAS'!I31+'INGRESO POR VENTAS'!J31)*0.05</f>
        <v>8365</v>
      </c>
      <c r="J7" s="85">
        <f>+('INGRESO POR VENTAS'!I31+'INGRESO POR VENTAS'!J31+'INGRESO POR VENTAS'!K31)*0.05</f>
        <v>10038</v>
      </c>
      <c r="K7" s="85">
        <f>+('INGRESO POR VENTAS'!J31+'INGRESO POR VENTAS'!K31+'INGRESO POR VENTAS'!L31)*0.05</f>
        <v>10038</v>
      </c>
    </row>
    <row r="8" spans="1:11" x14ac:dyDescent="0.3">
      <c r="A8" s="80" t="s">
        <v>208</v>
      </c>
      <c r="B8" s="80" t="s">
        <v>209</v>
      </c>
      <c r="C8" s="81" t="s">
        <v>210</v>
      </c>
      <c r="D8" s="86">
        <f>'PRESUPUESTO DE GASTOS'!B6</f>
        <v>32107.599999999999</v>
      </c>
      <c r="E8" s="86">
        <f>D8</f>
        <v>32107.599999999999</v>
      </c>
      <c r="F8" s="86">
        <f t="shared" ref="F8:K8" si="0">E8</f>
        <v>32107.599999999999</v>
      </c>
      <c r="G8" s="86">
        <f t="shared" si="0"/>
        <v>32107.599999999999</v>
      </c>
      <c r="H8" s="86">
        <f t="shared" si="0"/>
        <v>32107.599999999999</v>
      </c>
      <c r="I8" s="86">
        <f t="shared" si="0"/>
        <v>32107.599999999999</v>
      </c>
      <c r="J8" s="86">
        <f t="shared" si="0"/>
        <v>32107.599999999999</v>
      </c>
      <c r="K8" s="86">
        <f t="shared" si="0"/>
        <v>32107.599999999999</v>
      </c>
    </row>
    <row r="9" spans="1:11" x14ac:dyDescent="0.3">
      <c r="A9" s="271">
        <v>1.1000000000000001</v>
      </c>
      <c r="B9" s="272" t="s">
        <v>211</v>
      </c>
      <c r="C9" s="272"/>
      <c r="D9" s="273">
        <f t="shared" ref="D9:K9" si="1">SUM(D6:D8)</f>
        <v>123155.77505557952</v>
      </c>
      <c r="E9" s="273">
        <f t="shared" si="1"/>
        <v>89196.735055579527</v>
      </c>
      <c r="F9" s="273">
        <f t="shared" si="1"/>
        <v>121493.89505557952</v>
      </c>
      <c r="G9" s="273">
        <f t="shared" si="1"/>
        <v>118299.67505557952</v>
      </c>
      <c r="H9" s="273">
        <f t="shared" si="1"/>
        <v>123503.5309638957</v>
      </c>
      <c r="I9" s="273">
        <f t="shared" si="1"/>
        <v>126027.18387309447</v>
      </c>
      <c r="J9" s="273">
        <f t="shared" si="1"/>
        <v>125087.34778292617</v>
      </c>
      <c r="K9" s="273">
        <f t="shared" si="1"/>
        <v>123509.36041400486</v>
      </c>
    </row>
    <row r="10" spans="1:11" x14ac:dyDescent="0.3">
      <c r="A10" s="218" t="s">
        <v>212</v>
      </c>
      <c r="B10" s="219" t="s">
        <v>213</v>
      </c>
      <c r="C10" s="220"/>
      <c r="D10" s="221"/>
      <c r="E10" s="221"/>
      <c r="F10" s="221"/>
      <c r="G10" s="221"/>
      <c r="H10" s="222"/>
      <c r="I10" s="222"/>
      <c r="J10" s="222"/>
      <c r="K10" s="223"/>
    </row>
    <row r="11" spans="1:11" x14ac:dyDescent="0.3">
      <c r="A11" s="80" t="s">
        <v>214</v>
      </c>
      <c r="B11" s="80" t="s">
        <v>215</v>
      </c>
      <c r="C11" s="81" t="s">
        <v>216</v>
      </c>
      <c r="D11" s="86">
        <f>'INVERSION TOTAL'!E33</f>
        <v>32648</v>
      </c>
      <c r="E11" s="86">
        <f>D11</f>
        <v>32648</v>
      </c>
      <c r="F11" s="86">
        <f t="shared" ref="F11:K11" si="2">E11</f>
        <v>32648</v>
      </c>
      <c r="G11" s="86">
        <f t="shared" si="2"/>
        <v>32648</v>
      </c>
      <c r="H11" s="86">
        <f t="shared" si="2"/>
        <v>32648</v>
      </c>
      <c r="I11" s="86">
        <f t="shared" si="2"/>
        <v>32648</v>
      </c>
      <c r="J11" s="86">
        <f t="shared" si="2"/>
        <v>32648</v>
      </c>
      <c r="K11" s="86">
        <f t="shared" si="2"/>
        <v>32648</v>
      </c>
    </row>
    <row r="12" spans="1:11" x14ac:dyDescent="0.3">
      <c r="A12" s="80" t="s">
        <v>217</v>
      </c>
      <c r="B12" s="80" t="s">
        <v>218</v>
      </c>
      <c r="C12" s="81" t="s">
        <v>219</v>
      </c>
      <c r="D12" s="86">
        <f>'INVERSION TOTAL'!E48</f>
        <v>2193</v>
      </c>
      <c r="E12" s="86">
        <f>D12</f>
        <v>2193</v>
      </c>
      <c r="F12" s="86">
        <f t="shared" ref="F12:K12" si="3">E12</f>
        <v>2193</v>
      </c>
      <c r="G12" s="86">
        <f t="shared" si="3"/>
        <v>2193</v>
      </c>
      <c r="H12" s="86">
        <f t="shared" si="3"/>
        <v>2193</v>
      </c>
      <c r="I12" s="86">
        <f t="shared" si="3"/>
        <v>2193</v>
      </c>
      <c r="J12" s="86">
        <f t="shared" si="3"/>
        <v>2193</v>
      </c>
      <c r="K12" s="86">
        <f t="shared" si="3"/>
        <v>2193</v>
      </c>
    </row>
    <row r="13" spans="1:11" x14ac:dyDescent="0.3">
      <c r="A13" s="80" t="s">
        <v>220</v>
      </c>
      <c r="B13" s="80" t="s">
        <v>221</v>
      </c>
      <c r="C13" s="81" t="s">
        <v>222</v>
      </c>
      <c r="D13" s="86">
        <f>DEPRECIACION!H30</f>
        <v>124.06916666666667</v>
      </c>
      <c r="E13" s="86">
        <f>D13</f>
        <v>124.06916666666667</v>
      </c>
      <c r="F13" s="86">
        <f t="shared" ref="F13:K13" si="4">E13</f>
        <v>124.06916666666667</v>
      </c>
      <c r="G13" s="86">
        <f t="shared" si="4"/>
        <v>124.06916666666667</v>
      </c>
      <c r="H13" s="86">
        <f t="shared" si="4"/>
        <v>124.06916666666667</v>
      </c>
      <c r="I13" s="86">
        <f t="shared" si="4"/>
        <v>124.06916666666667</v>
      </c>
      <c r="J13" s="86">
        <f t="shared" si="4"/>
        <v>124.06916666666667</v>
      </c>
      <c r="K13" s="86">
        <f t="shared" si="4"/>
        <v>124.06916666666667</v>
      </c>
    </row>
    <row r="14" spans="1:11" x14ac:dyDescent="0.3">
      <c r="A14" s="271">
        <v>1.2</v>
      </c>
      <c r="B14" s="274" t="s">
        <v>223</v>
      </c>
      <c r="C14" s="274"/>
      <c r="D14" s="275">
        <f>(SUM(D11:D12))-D13</f>
        <v>34716.930833333332</v>
      </c>
      <c r="E14" s="275">
        <f t="shared" ref="E14:K14" si="5">(SUM(E11:E12))-E13</f>
        <v>34716.930833333332</v>
      </c>
      <c r="F14" s="275">
        <f t="shared" si="5"/>
        <v>34716.930833333332</v>
      </c>
      <c r="G14" s="275">
        <f t="shared" si="5"/>
        <v>34716.930833333332</v>
      </c>
      <c r="H14" s="275">
        <f t="shared" si="5"/>
        <v>34716.930833333332</v>
      </c>
      <c r="I14" s="275">
        <f t="shared" si="5"/>
        <v>34716.930833333332</v>
      </c>
      <c r="J14" s="275">
        <f t="shared" si="5"/>
        <v>34716.930833333332</v>
      </c>
      <c r="K14" s="275">
        <f t="shared" si="5"/>
        <v>34716.930833333332</v>
      </c>
    </row>
    <row r="15" spans="1:11" x14ac:dyDescent="0.3">
      <c r="A15" s="224">
        <v>1</v>
      </c>
      <c r="B15" s="225" t="s">
        <v>224</v>
      </c>
      <c r="C15" s="225"/>
      <c r="D15" s="226">
        <f t="shared" ref="D15:K15" si="6">D14+D9</f>
        <v>157872.70588891284</v>
      </c>
      <c r="E15" s="226">
        <f t="shared" si="6"/>
        <v>123913.66588891286</v>
      </c>
      <c r="F15" s="226">
        <f t="shared" si="6"/>
        <v>156210.82588891283</v>
      </c>
      <c r="G15" s="226">
        <f t="shared" si="6"/>
        <v>153016.60588891286</v>
      </c>
      <c r="H15" s="226">
        <f t="shared" si="6"/>
        <v>158220.46179722901</v>
      </c>
      <c r="I15" s="226">
        <f t="shared" si="6"/>
        <v>160744.11470642779</v>
      </c>
      <c r="J15" s="226">
        <f t="shared" si="6"/>
        <v>159804.27861625951</v>
      </c>
      <c r="K15" s="226">
        <f t="shared" si="6"/>
        <v>158226.29124733817</v>
      </c>
    </row>
    <row r="16" spans="1:11" x14ac:dyDescent="0.3">
      <c r="A16" s="266">
        <v>2</v>
      </c>
      <c r="B16" s="267" t="s">
        <v>225</v>
      </c>
      <c r="C16" s="268"/>
      <c r="D16" s="276"/>
      <c r="E16" s="276"/>
      <c r="F16" s="276"/>
      <c r="G16" s="276"/>
      <c r="H16" s="276"/>
      <c r="I16" s="276"/>
      <c r="J16" s="276"/>
      <c r="K16" s="277"/>
    </row>
    <row r="17" spans="1:11" x14ac:dyDescent="0.3">
      <c r="A17" s="229">
        <v>2.1</v>
      </c>
      <c r="B17" s="219" t="s">
        <v>226</v>
      </c>
      <c r="C17" s="220"/>
      <c r="D17" s="222"/>
      <c r="E17" s="222"/>
      <c r="F17" s="222"/>
      <c r="G17" s="222"/>
      <c r="H17" s="222"/>
      <c r="I17" s="222"/>
      <c r="J17" s="222"/>
      <c r="K17" s="223"/>
    </row>
    <row r="18" spans="1:11" x14ac:dyDescent="0.3">
      <c r="A18" s="80" t="s">
        <v>227</v>
      </c>
      <c r="B18" s="82" t="s">
        <v>228</v>
      </c>
      <c r="C18" s="83" t="s">
        <v>229</v>
      </c>
      <c r="D18" s="85">
        <f>'ESTADO DE GANACIAS Y PERDIDAS'!B16+'ESTADO DE GANACIAS Y PERDIDAS'!C16+'ESTADO DE GANACIAS Y PERDIDAS'!D16</f>
        <v>24802.974353134781</v>
      </c>
      <c r="E18" s="85">
        <f>'ESTADO DE GANACIAS Y PERDIDAS'!E16+'ESTADO DE GANACIAS Y PERDIDAS'!F16+'ESTADO DE GANACIAS Y PERDIDAS'!G16</f>
        <v>14478.942524581544</v>
      </c>
      <c r="F18" s="85">
        <f>'ESTADO DE GANACIAS Y PERDIDAS'!H16+'ESTADO DE GANACIAS Y PERDIDAS'!I16+'ESTADO DE GANACIAS Y PERDIDAS'!J16</f>
        <v>24759.14902110205</v>
      </c>
      <c r="G18" s="85">
        <f>'ESTADO DE GANACIAS Y PERDIDAS'!K16+'ESTADO DE GANACIAS Y PERDIDAS'!L16+'ESTADO DE GANACIAS Y PERDIDAS'!M16</f>
        <v>24902.062957085411</v>
      </c>
      <c r="H18" s="85">
        <f>'ESTADO DE GANACIAS Y PERDIDAS'!N16+'ESTADO DE GANACIAS Y PERDIDAS'!O16+'ESTADO DE GANACIAS Y PERDIDAS'!P16</f>
        <v>25352.528873610703</v>
      </c>
      <c r="I18" s="85">
        <f>'ESTADO DE GANACIAS Y PERDIDAS'!Q16+'ESTADO DE GANACIAS Y PERDIDAS'!R16+'ESTADO DE GANACIAS Y PERDIDAS'!S16</f>
        <v>25523.17558707764</v>
      </c>
      <c r="J18" s="85">
        <f>'ESTADO DE GANACIAS Y PERDIDAS'!T16+'ESTADO DE GANACIAS Y PERDIDAS'!U16+'ESTADO DE GANACIAS Y PERDIDAS'!V16</f>
        <v>25415.345858344219</v>
      </c>
      <c r="K18" s="85">
        <f>'ESTADO DE GANACIAS Y PERDIDAS'!W16+'ESTADO DE GANACIAS Y PERDIDAS'!X16+'ESTADO DE GANACIAS Y PERDIDAS'!Y16</f>
        <v>25619.106958454533</v>
      </c>
    </row>
    <row r="19" spans="1:11" ht="25.5" x14ac:dyDescent="0.3">
      <c r="A19" s="80" t="s">
        <v>230</v>
      </c>
      <c r="B19" s="80" t="s">
        <v>231</v>
      </c>
      <c r="C19" s="338" t="s">
        <v>232</v>
      </c>
      <c r="D19" s="86">
        <v>0</v>
      </c>
      <c r="E19" s="86">
        <v>0</v>
      </c>
      <c r="F19" s="86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5.5" x14ac:dyDescent="0.3">
      <c r="A20" s="80" t="s">
        <v>233</v>
      </c>
      <c r="B20" s="80" t="s">
        <v>234</v>
      </c>
      <c r="C20" s="338" t="s">
        <v>235</v>
      </c>
      <c r="D20" s="86">
        <f>+'AMORTIZACION DE CREDITO'!D16+'AMORTIZACION DE CREDITO'!D17+'AMORTIZACION DE CREDITO'!D18</f>
        <v>4302.5286215364085</v>
      </c>
      <c r="E20" s="86">
        <f>+'AMORTIZACION DE CREDITO'!D19+'AMORTIZACION DE CREDITO'!D20+'AMORTIZACION DE CREDITO'!D21</f>
        <v>4701.4891930256135</v>
      </c>
      <c r="F20" s="86">
        <f>+'AMORTIZACION DE CREDITO'!D22+'AMORTIZACION DE CREDITO'!D23+'AMORTIZACION DE CREDITO'!D24</f>
        <v>5137.4441814272996</v>
      </c>
      <c r="G20" s="86">
        <f>+'AMORTIZACION DE CREDITO'!D25+'AMORTIZACION DE CREDITO'!D26+'AMORTIZACION DE CREDITO'!D27</f>
        <v>5613.8239680385095</v>
      </c>
      <c r="H20" s="86">
        <f>+'AMORTIZACION DE CREDITO'!D28+'AMORTIZACION DE CREDITO'!D29+'AMORTIZACION DE CREDITO'!D30</f>
        <v>6134.3770231228164</v>
      </c>
      <c r="I20" s="86">
        <f>+'AMORTIZACION DE CREDITO'!D31+'AMORTIZACION DE CREDITO'!D32+'AMORTIZACION DE CREDITO'!D33</f>
        <v>6703.1994013459253</v>
      </c>
      <c r="J20" s="86">
        <f>+'AMORTIZACION DE CREDITO'!D34+'AMORTIZACION DE CREDITO'!D35+'AMORTIZACION DE CREDITO'!D36</f>
        <v>7324.766972234529</v>
      </c>
      <c r="K20" s="86">
        <f>+'AMORTIZACION DE CREDITO'!D37+'AMORTIZACION DE CREDITO'!D38+'AMORTIZACION DE CREDITO'!D39</f>
        <v>8003.9706392689204</v>
      </c>
    </row>
    <row r="21" spans="1:11" x14ac:dyDescent="0.3">
      <c r="A21" s="218">
        <v>2.1</v>
      </c>
      <c r="B21" s="232" t="s">
        <v>236</v>
      </c>
      <c r="C21" s="232"/>
      <c r="D21" s="233">
        <f t="shared" ref="D21:K21" si="7">SUM(D18:D20)</f>
        <v>29105.502974671188</v>
      </c>
      <c r="E21" s="233">
        <f t="shared" si="7"/>
        <v>19180.431717607156</v>
      </c>
      <c r="F21" s="233">
        <f t="shared" si="7"/>
        <v>29896.593202529351</v>
      </c>
      <c r="G21" s="233">
        <f t="shared" si="7"/>
        <v>30515.886925123919</v>
      </c>
      <c r="H21" s="233">
        <f t="shared" si="7"/>
        <v>31486.905896733519</v>
      </c>
      <c r="I21" s="233">
        <f t="shared" si="7"/>
        <v>32226.374988423566</v>
      </c>
      <c r="J21" s="233">
        <f t="shared" si="7"/>
        <v>32740.11283057875</v>
      </c>
      <c r="K21" s="233">
        <f t="shared" si="7"/>
        <v>33623.077597723452</v>
      </c>
    </row>
    <row r="22" spans="1:11" x14ac:dyDescent="0.3">
      <c r="A22" s="229">
        <v>2.2000000000000002</v>
      </c>
      <c r="B22" s="219" t="s">
        <v>237</v>
      </c>
      <c r="C22" s="281"/>
      <c r="D22" s="282"/>
      <c r="E22" s="282"/>
      <c r="F22" s="282"/>
      <c r="G22" s="282"/>
      <c r="H22" s="282"/>
      <c r="I22" s="282"/>
      <c r="J22" s="282"/>
      <c r="K22" s="282"/>
    </row>
    <row r="23" spans="1:11" s="285" customFormat="1" ht="25.5" x14ac:dyDescent="0.3">
      <c r="A23" s="283" t="s">
        <v>238</v>
      </c>
      <c r="B23" s="80" t="s">
        <v>234</v>
      </c>
      <c r="C23" s="338" t="s">
        <v>235</v>
      </c>
      <c r="D23" s="284">
        <f>+'AMORTIZACION DE CREDITO'!C18</f>
        <v>43619.071378463595</v>
      </c>
      <c r="E23" s="284">
        <f>+'AMORTIZACION DE CREDITO'!C21</f>
        <v>38917.582185437983</v>
      </c>
      <c r="F23" s="284">
        <f>+'AMORTIZACION DE CREDITO'!C24</f>
        <v>33780.138004010681</v>
      </c>
      <c r="G23" s="284">
        <f>+'AMORTIZACION DE CREDITO'!C27</f>
        <v>28166.314035972169</v>
      </c>
      <c r="H23" s="284">
        <f>+'AMORTIZACION DE CREDITO'!C30</f>
        <v>22031.937012849354</v>
      </c>
      <c r="I23" s="284">
        <f>+'AMORTIZACION DE CREDITO'!C33</f>
        <v>15328.737611503428</v>
      </c>
      <c r="J23" s="284">
        <f>+'AMORTIZACION DE CREDITO'!C36</f>
        <v>8003.9706392688995</v>
      </c>
      <c r="K23" s="284">
        <f>+'AMORTIZACION DE CREDITO'!C39</f>
        <v>-2.0918378140777349E-11</v>
      </c>
    </row>
    <row r="24" spans="1:11" s="285" customFormat="1" x14ac:dyDescent="0.3">
      <c r="A24" s="218">
        <v>2.1</v>
      </c>
      <c r="B24" s="232" t="s">
        <v>239</v>
      </c>
      <c r="C24" s="232"/>
      <c r="D24" s="233">
        <f>D23</f>
        <v>43619.071378463595</v>
      </c>
      <c r="E24" s="233">
        <f t="shared" ref="E24:K24" si="8">E23</f>
        <v>38917.582185437983</v>
      </c>
      <c r="F24" s="233">
        <f t="shared" si="8"/>
        <v>33780.138004010681</v>
      </c>
      <c r="G24" s="233">
        <f t="shared" si="8"/>
        <v>28166.314035972169</v>
      </c>
      <c r="H24" s="233">
        <f t="shared" si="8"/>
        <v>22031.937012849354</v>
      </c>
      <c r="I24" s="233">
        <f t="shared" si="8"/>
        <v>15328.737611503428</v>
      </c>
      <c r="J24" s="233">
        <f t="shared" si="8"/>
        <v>8003.9706392688995</v>
      </c>
      <c r="K24" s="233">
        <f t="shared" si="8"/>
        <v>-2.0918378140777349E-11</v>
      </c>
    </row>
    <row r="25" spans="1:11" x14ac:dyDescent="0.3">
      <c r="A25" s="271">
        <v>2.2999999999999998</v>
      </c>
      <c r="B25" s="272" t="s">
        <v>240</v>
      </c>
      <c r="C25" s="272"/>
      <c r="D25" s="273">
        <f>+D21+D24</f>
        <v>72724.574353134783</v>
      </c>
      <c r="E25" s="273">
        <f t="shared" ref="E25:K25" si="9">+E21+E24</f>
        <v>58098.013903045139</v>
      </c>
      <c r="F25" s="273">
        <f t="shared" si="9"/>
        <v>63676.731206540033</v>
      </c>
      <c r="G25" s="273">
        <f t="shared" si="9"/>
        <v>58682.200961096089</v>
      </c>
      <c r="H25" s="273">
        <f t="shared" si="9"/>
        <v>53518.842909582876</v>
      </c>
      <c r="I25" s="273">
        <f t="shared" si="9"/>
        <v>47555.112599926993</v>
      </c>
      <c r="J25" s="273">
        <f t="shared" si="9"/>
        <v>40744.083469847646</v>
      </c>
      <c r="K25" s="273">
        <f t="shared" si="9"/>
        <v>33623.07759772343</v>
      </c>
    </row>
    <row r="26" spans="1:11" x14ac:dyDescent="0.3">
      <c r="A26" s="213">
        <v>2.4</v>
      </c>
      <c r="B26" s="214" t="s">
        <v>241</v>
      </c>
      <c r="C26" s="215"/>
      <c r="D26" s="216"/>
      <c r="E26" s="216"/>
      <c r="F26" s="216"/>
      <c r="G26" s="216"/>
      <c r="H26" s="216"/>
      <c r="I26" s="216"/>
      <c r="J26" s="216"/>
      <c r="K26" s="217"/>
    </row>
    <row r="27" spans="1:11" x14ac:dyDescent="0.3">
      <c r="A27" s="80" t="s">
        <v>242</v>
      </c>
      <c r="B27" s="82" t="s">
        <v>243</v>
      </c>
      <c r="C27" s="83" t="s">
        <v>244</v>
      </c>
      <c r="D27" s="85">
        <f>FINANCIAMIENTO!D5</f>
        <v>23500</v>
      </c>
      <c r="E27" s="119">
        <f>D27</f>
        <v>23500</v>
      </c>
      <c r="F27" s="119">
        <f t="shared" ref="F27:K27" si="10">E27</f>
        <v>23500</v>
      </c>
      <c r="G27" s="119">
        <f t="shared" si="10"/>
        <v>23500</v>
      </c>
      <c r="H27" s="119">
        <f t="shared" si="10"/>
        <v>23500</v>
      </c>
      <c r="I27" s="119">
        <f t="shared" si="10"/>
        <v>23500</v>
      </c>
      <c r="J27" s="119">
        <f t="shared" si="10"/>
        <v>23500</v>
      </c>
      <c r="K27" s="119">
        <f t="shared" si="10"/>
        <v>23500</v>
      </c>
    </row>
    <row r="28" spans="1:11" x14ac:dyDescent="0.3">
      <c r="A28" s="80" t="s">
        <v>245</v>
      </c>
      <c r="B28" s="80" t="s">
        <v>246</v>
      </c>
      <c r="C28" s="81" t="s">
        <v>247</v>
      </c>
      <c r="D28" s="86">
        <f>'ESTADO DE GANACIAS Y PERDIDAS'!B17+'ESTADO DE GANACIAS Y PERDIDAS'!C17+'ESTADO DE GANACIAS Y PERDIDAS'!D17</f>
        <v>57873.606823981158</v>
      </c>
      <c r="E28" s="120">
        <f>'ESTADO DE GANACIAS Y PERDIDAS'!E17+'ESTADO DE GANACIAS Y PERDIDAS'!F17+'ESTADO DE GANACIAS Y PERDIDAS'!G17</f>
        <v>33784.1992240236</v>
      </c>
      <c r="F28" s="120">
        <f>'ESTADO DE GANACIAS Y PERDIDAS'!H17+'ESTADO DE GANACIAS Y PERDIDAS'!I17+'ESTADO DE GANACIAS Y PERDIDAS'!J17</f>
        <v>57771.347715904783</v>
      </c>
      <c r="G28" s="120">
        <f>'ESTADO DE GANACIAS Y PERDIDAS'!K17+'ESTADO DE GANACIAS Y PERDIDAS'!L17+'ESTADO DE GANACIAS Y PERDIDAS'!M17</f>
        <v>58104.813566532626</v>
      </c>
      <c r="H28" s="120">
        <f>'ESTADO DE GANACIAS Y PERDIDAS'!N17+'ESTADO DE GANACIAS Y PERDIDAS'!O17+'ESTADO DE GANACIAS Y PERDIDAS'!P17</f>
        <v>59155.900705091648</v>
      </c>
      <c r="I28" s="120">
        <f>'ESTADO DE GANACIAS Y PERDIDAS'!Q17+'ESTADO DE GANACIAS Y PERDIDAS'!R17+'ESTADO DE GANACIAS Y PERDIDAS'!S17</f>
        <v>59554.076369847826</v>
      </c>
      <c r="J28" s="120">
        <f>'ESTADO DE GANACIAS Y PERDIDAS'!T17+'ESTADO DE GANACIAS Y PERDIDAS'!U17+'ESTADO DE GANACIAS Y PERDIDAS'!V17</f>
        <v>59302.473669469851</v>
      </c>
      <c r="K28" s="120">
        <f>'ESTADO DE GANACIAS Y PERDIDAS'!W17+'ESTADO DE GANACIAS Y PERDIDAS'!X17+'ESTADO DE GANACIAS Y PERDIDAS'!Y17</f>
        <v>59777.916236393918</v>
      </c>
    </row>
    <row r="29" spans="1:11" x14ac:dyDescent="0.3">
      <c r="A29" s="80" t="s">
        <v>248</v>
      </c>
      <c r="B29" s="80" t="s">
        <v>249</v>
      </c>
      <c r="C29" s="81" t="s">
        <v>250</v>
      </c>
      <c r="D29" s="86">
        <v>0</v>
      </c>
      <c r="E29" s="120">
        <f t="shared" ref="E29:K29" si="11">D28+D29</f>
        <v>57873.606823981158</v>
      </c>
      <c r="F29" s="120">
        <f t="shared" si="11"/>
        <v>91657.806048004757</v>
      </c>
      <c r="G29" s="120">
        <f t="shared" si="11"/>
        <v>149429.15376390953</v>
      </c>
      <c r="H29" s="120">
        <f t="shared" si="11"/>
        <v>207533.96733044216</v>
      </c>
      <c r="I29" s="120">
        <f t="shared" si="11"/>
        <v>266689.86803553381</v>
      </c>
      <c r="J29" s="120">
        <f t="shared" si="11"/>
        <v>326243.94440538163</v>
      </c>
      <c r="K29" s="120">
        <f t="shared" si="11"/>
        <v>385546.41807485151</v>
      </c>
    </row>
    <row r="30" spans="1:11" x14ac:dyDescent="0.3">
      <c r="A30" s="271">
        <v>2.4</v>
      </c>
      <c r="B30" s="274" t="s">
        <v>251</v>
      </c>
      <c r="C30" s="274"/>
      <c r="D30" s="275">
        <f>SUM(D27:D29)</f>
        <v>81373.606823981158</v>
      </c>
      <c r="E30" s="275">
        <f t="shared" ref="E30:K30" si="12">SUM(E27:E29)</f>
        <v>115157.80604800476</v>
      </c>
      <c r="F30" s="275">
        <f t="shared" si="12"/>
        <v>172929.15376390953</v>
      </c>
      <c r="G30" s="275">
        <f t="shared" si="12"/>
        <v>231033.96733044216</v>
      </c>
      <c r="H30" s="275">
        <f t="shared" si="12"/>
        <v>290189.86803553381</v>
      </c>
      <c r="I30" s="275">
        <f t="shared" si="12"/>
        <v>349743.94440538163</v>
      </c>
      <c r="J30" s="275">
        <f t="shared" si="12"/>
        <v>409046.41807485151</v>
      </c>
      <c r="K30" s="275">
        <f t="shared" si="12"/>
        <v>468824.33431124542</v>
      </c>
    </row>
    <row r="31" spans="1:11" x14ac:dyDescent="0.3">
      <c r="A31" s="224">
        <v>2.5</v>
      </c>
      <c r="B31" s="227" t="s">
        <v>252</v>
      </c>
      <c r="C31" s="227"/>
      <c r="D31" s="228">
        <f t="shared" ref="D31:K31" si="13">D30+D25</f>
        <v>154098.18117711594</v>
      </c>
      <c r="E31" s="228">
        <f t="shared" si="13"/>
        <v>173255.8199510499</v>
      </c>
      <c r="F31" s="228">
        <f t="shared" si="13"/>
        <v>236605.88497044955</v>
      </c>
      <c r="G31" s="228">
        <f t="shared" si="13"/>
        <v>289716.16829153826</v>
      </c>
      <c r="H31" s="228">
        <f t="shared" si="13"/>
        <v>343708.71094511671</v>
      </c>
      <c r="I31" s="228">
        <f t="shared" si="13"/>
        <v>397299.05700530863</v>
      </c>
      <c r="J31" s="228">
        <f t="shared" si="13"/>
        <v>449790.50154469913</v>
      </c>
      <c r="K31" s="228">
        <f t="shared" si="13"/>
        <v>502447.41190896882</v>
      </c>
    </row>
    <row r="32" spans="1:11" x14ac:dyDescent="0.3">
      <c r="D32" s="334"/>
      <c r="E32" s="132"/>
      <c r="F32" s="132"/>
      <c r="G32" s="132"/>
      <c r="H32" s="132"/>
      <c r="I32" s="132"/>
      <c r="J32" s="132"/>
      <c r="K32" s="132"/>
    </row>
    <row r="33" spans="4:44" x14ac:dyDescent="0.3">
      <c r="D33" s="133"/>
      <c r="E33" s="133"/>
      <c r="F33" s="133"/>
      <c r="G33" s="133"/>
      <c r="H33" s="133"/>
      <c r="I33" s="133"/>
      <c r="J33" s="133"/>
      <c r="K33" s="133"/>
      <c r="AH33" s="416" t="s">
        <v>191</v>
      </c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</row>
    <row r="34" spans="4:44" x14ac:dyDescent="0.3">
      <c r="D34" s="133"/>
      <c r="E34" s="133"/>
      <c r="F34" s="133"/>
      <c r="G34" s="133"/>
      <c r="H34" s="133"/>
      <c r="I34" s="133"/>
      <c r="J34" s="133"/>
      <c r="K34" s="133"/>
      <c r="W34" s="363">
        <v>9</v>
      </c>
      <c r="X34" s="363">
        <v>10</v>
      </c>
      <c r="Y34" s="363">
        <v>12</v>
      </c>
      <c r="AH34" s="394"/>
      <c r="AI34" s="394"/>
      <c r="AJ34" s="394"/>
      <c r="AK34" s="394"/>
      <c r="AL34" s="394"/>
    </row>
    <row r="35" spans="4:44" x14ac:dyDescent="0.3">
      <c r="AH35" s="414" t="s">
        <v>192</v>
      </c>
      <c r="AI35" s="415"/>
      <c r="AJ35" s="415"/>
      <c r="AK35" s="362">
        <v>1</v>
      </c>
      <c r="AL35" s="362">
        <v>2</v>
      </c>
      <c r="AM35" s="362">
        <v>3</v>
      </c>
      <c r="AN35" s="362">
        <v>4</v>
      </c>
      <c r="AO35" s="362">
        <v>5</v>
      </c>
      <c r="AP35" s="362">
        <v>6</v>
      </c>
      <c r="AQ35" s="362">
        <v>7</v>
      </c>
      <c r="AR35" s="362">
        <v>8</v>
      </c>
    </row>
    <row r="36" spans="4:44" x14ac:dyDescent="0.3">
      <c r="AH36" s="266">
        <v>1</v>
      </c>
      <c r="AI36" s="267" t="s">
        <v>201</v>
      </c>
      <c r="AJ36" s="268"/>
      <c r="AK36" s="269"/>
      <c r="AL36" s="269"/>
      <c r="AM36" s="269"/>
      <c r="AN36" s="269"/>
      <c r="AO36" s="269"/>
      <c r="AP36" s="269"/>
      <c r="AQ36" s="269"/>
      <c r="AR36" s="270"/>
    </row>
    <row r="37" spans="4:44" x14ac:dyDescent="0.3">
      <c r="AH37" s="229">
        <v>1.1000000000000001</v>
      </c>
      <c r="AI37" s="219" t="s">
        <v>202</v>
      </c>
      <c r="AJ37" s="220"/>
      <c r="AK37" s="230"/>
      <c r="AL37" s="230"/>
      <c r="AM37" s="230"/>
      <c r="AN37" s="230"/>
      <c r="AO37" s="230"/>
      <c r="AP37" s="230"/>
      <c r="AQ37" s="230"/>
      <c r="AR37" s="231"/>
    </row>
    <row r="38" spans="4:44" x14ac:dyDescent="0.3">
      <c r="AH38" s="80" t="s">
        <v>203</v>
      </c>
      <c r="AI38" s="82" t="s">
        <v>204</v>
      </c>
      <c r="AJ38" s="83" t="s">
        <v>205</v>
      </c>
      <c r="AK38" s="85"/>
      <c r="AL38" s="85" t="e">
        <f>'FLUJO DE CAJA ECON FINANCI'!#REF!+'FLUJO DE CAJA ECON FINANCI'!#REF!+'FLUJO DE CAJA ECON FINANCI'!S48+'ESTADO DE GANACIAS Y PERDIDAS'!N69</f>
        <v>#REF!</v>
      </c>
      <c r="AM38" s="85">
        <f>'FLUJO DE CAJA ECON FINANCI'!T48+'FLUJO DE CAJA ECON FINANCI'!G49+'FLUJO DE CAJA ECON FINANCI'!H49+'ESTADO DE GANACIAS Y PERDIDAS'!O69</f>
        <v>8920.3125</v>
      </c>
      <c r="AN38" s="85">
        <f>'FLUJO DE CAJA ECON FINANCI'!I49+'FLUJO DE CAJA ECON FINANCI'!J49+'FLUJO DE CAJA ECON FINANCI'!Y48+'ESTADO DE GANACIAS Y PERDIDAS'!P69</f>
        <v>535.18440959914949</v>
      </c>
      <c r="AO38" s="85">
        <f>'FLUJO DE CAJA ECON FINANCI'!Z48+'FLUJO DE CAJA ECON FINANCI'!AA48+'FLUJO DE CAJA ECON FINANCI'!AB48+'ESTADO DE GANACIAS Y PERDIDAS'!Q69</f>
        <v>0</v>
      </c>
      <c r="AP38" s="85">
        <f>'FLUJO DE CAJA ECON FINANCI'!AC48+'FLUJO DE CAJA ECON FINANCI'!AD48+'FLUJO DE CAJA ECON FINANCI'!AE48+'ESTADO DE GANACIAS Y PERDIDAS'!R69</f>
        <v>0</v>
      </c>
      <c r="AQ38" s="85">
        <f>'FLUJO DE CAJA ECON FINANCI'!AF48+'FLUJO DE CAJA ECON FINANCI'!AG48+'FLUJO DE CAJA ECON FINANCI'!AH48+'ESTADO DE GANACIAS Y PERDIDAS'!S69</f>
        <v>0</v>
      </c>
      <c r="AR38" s="85">
        <f>'FLUJO DE CAJA ECON FINANCI'!AI48+'FLUJO DE CAJA ECON FINANCI'!AJ48+'FLUJO DE CAJA ECON FINANCI'!AK48+'ESTADO DE GANACIAS Y PERDIDAS'!T69</f>
        <v>0</v>
      </c>
    </row>
    <row r="39" spans="4:44" x14ac:dyDescent="0.3">
      <c r="AH39" s="80"/>
      <c r="AI39" s="82" t="s">
        <v>206</v>
      </c>
      <c r="AJ39" s="83" t="s">
        <v>207</v>
      </c>
      <c r="AK39" s="85">
        <f>+('INGRESO POR VENTAS'!N62+'INGRESO POR VENTAS'!O62+'INGRESO POR VENTAS'!P62)*0.05</f>
        <v>0</v>
      </c>
      <c r="AL39" s="85">
        <f>+('INGRESO POR VENTAS'!O62+'INGRESO POR VENTAS'!P62+'INGRESO POR VENTAS'!Q62)*0.05</f>
        <v>0</v>
      </c>
      <c r="AM39" s="85">
        <f>+('INGRESO POR VENTAS'!P62+'INGRESO POR VENTAS'!Q62+'INGRESO POR VENTAS'!R62)*0.05</f>
        <v>0</v>
      </c>
      <c r="AN39" s="85">
        <f>+('INGRESO POR VENTAS'!Q62+'INGRESO POR VENTAS'!R62+'INGRESO POR VENTAS'!S62)*0.05</f>
        <v>0</v>
      </c>
      <c r="AO39" s="85">
        <f>+('INGRESO POR VENTAS'!R62+'INGRESO POR VENTAS'!S62+'INGRESO POR VENTAS'!T62)*0.05</f>
        <v>0</v>
      </c>
      <c r="AP39" s="85">
        <f>+('INGRESO POR VENTAS'!S62+'INGRESO POR VENTAS'!T62+'INGRESO POR VENTAS'!U62)*0.05</f>
        <v>0</v>
      </c>
      <c r="AQ39" s="85">
        <f>+('INGRESO POR VENTAS'!T62+'INGRESO POR VENTAS'!U62+'INGRESO POR VENTAS'!V62)*0.05</f>
        <v>0</v>
      </c>
      <c r="AR39" s="85">
        <f>+('INGRESO POR VENTAS'!U62+'INGRESO POR VENTAS'!V62+'INGRESO POR VENTAS'!W62)*0.05</f>
        <v>0</v>
      </c>
    </row>
    <row r="40" spans="4:44" x14ac:dyDescent="0.3">
      <c r="AH40" s="80" t="s">
        <v>208</v>
      </c>
      <c r="AI40" s="80" t="s">
        <v>209</v>
      </c>
      <c r="AJ40" s="81" t="s">
        <v>210</v>
      </c>
      <c r="AK40" s="86">
        <f>'PRESUPUESTO DE GASTOS'!M52</f>
        <v>0</v>
      </c>
      <c r="AL40" s="86">
        <f t="shared" ref="AL40:AR40" si="14">AK40</f>
        <v>0</v>
      </c>
      <c r="AM40" s="86">
        <f t="shared" si="14"/>
        <v>0</v>
      </c>
      <c r="AN40" s="86">
        <f t="shared" si="14"/>
        <v>0</v>
      </c>
      <c r="AO40" s="86">
        <f t="shared" si="14"/>
        <v>0</v>
      </c>
      <c r="AP40" s="86">
        <f t="shared" si="14"/>
        <v>0</v>
      </c>
      <c r="AQ40" s="86">
        <f t="shared" si="14"/>
        <v>0</v>
      </c>
      <c r="AR40" s="86">
        <f t="shared" si="14"/>
        <v>0</v>
      </c>
    </row>
    <row r="41" spans="4:44" x14ac:dyDescent="0.3">
      <c r="AH41" s="271">
        <v>1.1000000000000001</v>
      </c>
      <c r="AI41" s="272" t="s">
        <v>211</v>
      </c>
      <c r="AJ41" s="272"/>
      <c r="AK41" s="273">
        <f t="shared" ref="AK41:AR41" si="15">SUM(AK38:AK40)</f>
        <v>0</v>
      </c>
      <c r="AL41" s="273" t="e">
        <f t="shared" si="15"/>
        <v>#REF!</v>
      </c>
      <c r="AM41" s="273">
        <f t="shared" si="15"/>
        <v>8920.3125</v>
      </c>
      <c r="AN41" s="273">
        <f t="shared" si="15"/>
        <v>535.18440959914949</v>
      </c>
      <c r="AO41" s="273">
        <f t="shared" si="15"/>
        <v>0</v>
      </c>
      <c r="AP41" s="273">
        <f t="shared" si="15"/>
        <v>0</v>
      </c>
      <c r="AQ41" s="273">
        <f t="shared" si="15"/>
        <v>0</v>
      </c>
      <c r="AR41" s="273">
        <f t="shared" si="15"/>
        <v>0</v>
      </c>
    </row>
    <row r="42" spans="4:44" x14ac:dyDescent="0.3">
      <c r="AH42" s="218" t="s">
        <v>212</v>
      </c>
      <c r="AI42" s="219" t="s">
        <v>213</v>
      </c>
      <c r="AJ42" s="220"/>
      <c r="AK42" s="221"/>
      <c r="AL42" s="221"/>
      <c r="AM42" s="221"/>
      <c r="AN42" s="221"/>
      <c r="AO42" s="222"/>
      <c r="AP42" s="222"/>
      <c r="AQ42" s="222"/>
      <c r="AR42" s="223"/>
    </row>
    <row r="43" spans="4:44" x14ac:dyDescent="0.3">
      <c r="AH43" s="80" t="s">
        <v>214</v>
      </c>
      <c r="AI43" s="80" t="s">
        <v>215</v>
      </c>
      <c r="AJ43" s="81" t="s">
        <v>216</v>
      </c>
      <c r="AK43" s="86">
        <f>'INVERSION TOTAL'!P58</f>
        <v>0</v>
      </c>
      <c r="AL43" s="86">
        <f t="shared" ref="AL43:AR45" si="16">AK43</f>
        <v>0</v>
      </c>
      <c r="AM43" s="86">
        <f t="shared" si="16"/>
        <v>0</v>
      </c>
      <c r="AN43" s="86">
        <f t="shared" si="16"/>
        <v>0</v>
      </c>
      <c r="AO43" s="86">
        <f t="shared" si="16"/>
        <v>0</v>
      </c>
      <c r="AP43" s="86">
        <f t="shared" si="16"/>
        <v>0</v>
      </c>
      <c r="AQ43" s="86">
        <f t="shared" si="16"/>
        <v>0</v>
      </c>
      <c r="AR43" s="86">
        <f t="shared" si="16"/>
        <v>0</v>
      </c>
    </row>
    <row r="44" spans="4:44" x14ac:dyDescent="0.3">
      <c r="AH44" s="80" t="s">
        <v>217</v>
      </c>
      <c r="AI44" s="80" t="s">
        <v>218</v>
      </c>
      <c r="AJ44" s="81" t="s">
        <v>219</v>
      </c>
      <c r="AK44" s="86">
        <f>'INVERSION TOTAL'!P73</f>
        <v>0</v>
      </c>
      <c r="AL44" s="86">
        <f t="shared" si="16"/>
        <v>0</v>
      </c>
      <c r="AM44" s="86">
        <f t="shared" si="16"/>
        <v>0</v>
      </c>
      <c r="AN44" s="86">
        <f t="shared" si="16"/>
        <v>0</v>
      </c>
      <c r="AO44" s="86">
        <f t="shared" si="16"/>
        <v>0</v>
      </c>
      <c r="AP44" s="86">
        <f t="shared" si="16"/>
        <v>0</v>
      </c>
      <c r="AQ44" s="86">
        <f t="shared" si="16"/>
        <v>0</v>
      </c>
      <c r="AR44" s="86">
        <f t="shared" si="16"/>
        <v>0</v>
      </c>
    </row>
    <row r="45" spans="4:44" x14ac:dyDescent="0.3">
      <c r="AH45" s="80" t="s">
        <v>220</v>
      </c>
      <c r="AI45" s="80" t="s">
        <v>221</v>
      </c>
      <c r="AJ45" s="81" t="s">
        <v>222</v>
      </c>
      <c r="AK45" s="86">
        <f>DEPRECIACION!S61</f>
        <v>0</v>
      </c>
      <c r="AL45" s="86">
        <f t="shared" si="16"/>
        <v>0</v>
      </c>
      <c r="AM45" s="86">
        <f t="shared" si="16"/>
        <v>0</v>
      </c>
      <c r="AN45" s="86">
        <f t="shared" si="16"/>
        <v>0</v>
      </c>
      <c r="AO45" s="86">
        <f t="shared" si="16"/>
        <v>0</v>
      </c>
      <c r="AP45" s="86">
        <f t="shared" si="16"/>
        <v>0</v>
      </c>
      <c r="AQ45" s="86">
        <f t="shared" si="16"/>
        <v>0</v>
      </c>
      <c r="AR45" s="86">
        <f t="shared" si="16"/>
        <v>0</v>
      </c>
    </row>
    <row r="46" spans="4:44" x14ac:dyDescent="0.3">
      <c r="AH46" s="271">
        <v>1.2</v>
      </c>
      <c r="AI46" s="274" t="s">
        <v>223</v>
      </c>
      <c r="AJ46" s="274"/>
      <c r="AK46" s="275">
        <f>(SUM(AK43:AK44))-AK45</f>
        <v>0</v>
      </c>
      <c r="AL46" s="275">
        <f t="shared" ref="AL46:AR46" si="17">(SUM(AL43:AL44))-AL45</f>
        <v>0</v>
      </c>
      <c r="AM46" s="275">
        <f t="shared" si="17"/>
        <v>0</v>
      </c>
      <c r="AN46" s="275">
        <f t="shared" si="17"/>
        <v>0</v>
      </c>
      <c r="AO46" s="275">
        <f t="shared" si="17"/>
        <v>0</v>
      </c>
      <c r="AP46" s="275">
        <f t="shared" si="17"/>
        <v>0</v>
      </c>
      <c r="AQ46" s="275">
        <f t="shared" si="17"/>
        <v>0</v>
      </c>
      <c r="AR46" s="275">
        <f t="shared" si="17"/>
        <v>0</v>
      </c>
    </row>
    <row r="47" spans="4:44" x14ac:dyDescent="0.3">
      <c r="AH47" s="224">
        <v>1</v>
      </c>
      <c r="AI47" s="225" t="s">
        <v>224</v>
      </c>
      <c r="AJ47" s="225"/>
      <c r="AK47" s="226">
        <f t="shared" ref="AK47:AR47" si="18">AK46+AK41</f>
        <v>0</v>
      </c>
      <c r="AL47" s="226" t="e">
        <f t="shared" si="18"/>
        <v>#REF!</v>
      </c>
      <c r="AM47" s="226">
        <f t="shared" si="18"/>
        <v>8920.3125</v>
      </c>
      <c r="AN47" s="226">
        <f t="shared" si="18"/>
        <v>535.18440959914949</v>
      </c>
      <c r="AO47" s="226">
        <f t="shared" si="18"/>
        <v>0</v>
      </c>
      <c r="AP47" s="226">
        <f t="shared" si="18"/>
        <v>0</v>
      </c>
      <c r="AQ47" s="226">
        <f t="shared" si="18"/>
        <v>0</v>
      </c>
      <c r="AR47" s="226">
        <f t="shared" si="18"/>
        <v>0</v>
      </c>
    </row>
    <row r="48" spans="4:44" x14ac:dyDescent="0.3">
      <c r="AH48" s="266">
        <v>2</v>
      </c>
      <c r="AI48" s="267" t="s">
        <v>225</v>
      </c>
      <c r="AJ48" s="268"/>
      <c r="AK48" s="276"/>
      <c r="AL48" s="276"/>
      <c r="AM48" s="276"/>
      <c r="AN48" s="276"/>
      <c r="AO48" s="276"/>
      <c r="AP48" s="276"/>
      <c r="AQ48" s="276"/>
      <c r="AR48" s="277"/>
    </row>
    <row r="49" spans="34:44" x14ac:dyDescent="0.3">
      <c r="AH49" s="229">
        <v>2.1</v>
      </c>
      <c r="AI49" s="219" t="s">
        <v>226</v>
      </c>
      <c r="AJ49" s="220"/>
      <c r="AK49" s="222"/>
      <c r="AL49" s="222"/>
      <c r="AM49" s="222"/>
      <c r="AN49" s="222"/>
      <c r="AO49" s="222"/>
      <c r="AP49" s="222"/>
      <c r="AQ49" s="222"/>
      <c r="AR49" s="223"/>
    </row>
    <row r="50" spans="34:44" x14ac:dyDescent="0.3">
      <c r="AH50" s="80" t="s">
        <v>227</v>
      </c>
      <c r="AI50" s="82" t="s">
        <v>228</v>
      </c>
      <c r="AJ50" s="83" t="s">
        <v>229</v>
      </c>
      <c r="AK50" s="85">
        <f>'ESTADO DE GANACIAS Y PERDIDAS'!M47+'ESTADO DE GANACIAS Y PERDIDAS'!N47+'ESTADO DE GANACIAS Y PERDIDAS'!O47</f>
        <v>0</v>
      </c>
      <c r="AL50" s="85">
        <f>'ESTADO DE GANACIAS Y PERDIDAS'!P47+'ESTADO DE GANACIAS Y PERDIDAS'!Q47+'ESTADO DE GANACIAS Y PERDIDAS'!R47</f>
        <v>0</v>
      </c>
      <c r="AM50" s="85">
        <f>'ESTADO DE GANACIAS Y PERDIDAS'!S47+'ESTADO DE GANACIAS Y PERDIDAS'!T47+'ESTADO DE GANACIAS Y PERDIDAS'!U47</f>
        <v>0</v>
      </c>
      <c r="AN50" s="85">
        <f>'ESTADO DE GANACIAS Y PERDIDAS'!V47+'ESTADO DE GANACIAS Y PERDIDAS'!W47+'ESTADO DE GANACIAS Y PERDIDAS'!X47</f>
        <v>0</v>
      </c>
      <c r="AO50" s="85">
        <f>'ESTADO DE GANACIAS Y PERDIDAS'!Y47+'ESTADO DE GANACIAS Y PERDIDAS'!Z47+'ESTADO DE GANACIAS Y PERDIDAS'!AA47</f>
        <v>0</v>
      </c>
      <c r="AP50" s="85">
        <f>'ESTADO DE GANACIAS Y PERDIDAS'!AB47+'ESTADO DE GANACIAS Y PERDIDAS'!AC47+'ESTADO DE GANACIAS Y PERDIDAS'!AD47</f>
        <v>0</v>
      </c>
      <c r="AQ50" s="85">
        <f>'ESTADO DE GANACIAS Y PERDIDAS'!AE47+'ESTADO DE GANACIAS Y PERDIDAS'!AF47+'ESTADO DE GANACIAS Y PERDIDAS'!AG47</f>
        <v>0</v>
      </c>
      <c r="AR50" s="85">
        <f>'ESTADO DE GANACIAS Y PERDIDAS'!AH47+'ESTADO DE GANACIAS Y PERDIDAS'!AI47+'ESTADO DE GANACIAS Y PERDIDAS'!AJ47</f>
        <v>0</v>
      </c>
    </row>
    <row r="51" spans="34:44" ht="38.25" x14ac:dyDescent="0.3">
      <c r="AH51" s="80" t="s">
        <v>230</v>
      </c>
      <c r="AI51" s="80" t="s">
        <v>231</v>
      </c>
      <c r="AJ51" s="338" t="s">
        <v>232</v>
      </c>
      <c r="AK51" s="86">
        <v>0</v>
      </c>
      <c r="AL51" s="86">
        <v>0</v>
      </c>
      <c r="AM51" s="86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</row>
    <row r="52" spans="34:44" ht="51" x14ac:dyDescent="0.3">
      <c r="AH52" s="80" t="s">
        <v>233</v>
      </c>
      <c r="AI52" s="80" t="s">
        <v>234</v>
      </c>
      <c r="AJ52" s="338" t="s">
        <v>235</v>
      </c>
      <c r="AK52" s="86">
        <f>+'AMORTIZACION DE CREDITO'!O47+'AMORTIZACION DE CREDITO'!O48+'AMORTIZACION DE CREDITO'!O49</f>
        <v>0</v>
      </c>
      <c r="AL52" s="86">
        <f>+'AMORTIZACION DE CREDITO'!O50+'AMORTIZACION DE CREDITO'!O51+'AMORTIZACION DE CREDITO'!O52</f>
        <v>0</v>
      </c>
      <c r="AM52" s="86">
        <f>+'AMORTIZACION DE CREDITO'!O53+'AMORTIZACION DE CREDITO'!O54+'AMORTIZACION DE CREDITO'!O55</f>
        <v>0</v>
      </c>
      <c r="AN52" s="86">
        <f>+'AMORTIZACION DE CREDITO'!O56+'AMORTIZACION DE CREDITO'!O57+'AMORTIZACION DE CREDITO'!O58</f>
        <v>0</v>
      </c>
      <c r="AO52" s="86">
        <f>+'AMORTIZACION DE CREDITO'!O59+'AMORTIZACION DE CREDITO'!O60+'AMORTIZACION DE CREDITO'!O61</f>
        <v>0</v>
      </c>
      <c r="AP52" s="86">
        <f>+'AMORTIZACION DE CREDITO'!O62+'AMORTIZACION DE CREDITO'!O63+'AMORTIZACION DE CREDITO'!O64</f>
        <v>0</v>
      </c>
      <c r="AQ52" s="86">
        <f>+'AMORTIZACION DE CREDITO'!O65+'AMORTIZACION DE CREDITO'!O66+'AMORTIZACION DE CREDITO'!O67</f>
        <v>0</v>
      </c>
      <c r="AR52" s="86">
        <f>+'AMORTIZACION DE CREDITO'!O68+'AMORTIZACION DE CREDITO'!O69+'AMORTIZACION DE CREDITO'!O70</f>
        <v>0</v>
      </c>
    </row>
    <row r="53" spans="34:44" x14ac:dyDescent="0.3">
      <c r="AH53" s="218">
        <v>2.1</v>
      </c>
      <c r="AI53" s="232" t="s">
        <v>236</v>
      </c>
      <c r="AJ53" s="232"/>
      <c r="AK53" s="233">
        <f t="shared" ref="AK53:AR53" si="19">SUM(AK50:AK52)</f>
        <v>0</v>
      </c>
      <c r="AL53" s="233">
        <f t="shared" si="19"/>
        <v>0</v>
      </c>
      <c r="AM53" s="233">
        <f t="shared" si="19"/>
        <v>0</v>
      </c>
      <c r="AN53" s="233">
        <f t="shared" si="19"/>
        <v>0</v>
      </c>
      <c r="AO53" s="233">
        <f t="shared" si="19"/>
        <v>0</v>
      </c>
      <c r="AP53" s="233">
        <f t="shared" si="19"/>
        <v>0</v>
      </c>
      <c r="AQ53" s="233">
        <f t="shared" si="19"/>
        <v>0</v>
      </c>
      <c r="AR53" s="233">
        <f t="shared" si="19"/>
        <v>0</v>
      </c>
    </row>
    <row r="54" spans="34:44" x14ac:dyDescent="0.3">
      <c r="AH54" s="229">
        <v>2.2000000000000002</v>
      </c>
      <c r="AI54" s="219" t="s">
        <v>237</v>
      </c>
      <c r="AJ54" s="281"/>
      <c r="AK54" s="282"/>
      <c r="AL54" s="282"/>
      <c r="AM54" s="282"/>
      <c r="AN54" s="282"/>
      <c r="AO54" s="282"/>
      <c r="AP54" s="282"/>
      <c r="AQ54" s="282"/>
      <c r="AR54" s="282"/>
    </row>
    <row r="55" spans="34:44" ht="51" x14ac:dyDescent="0.3">
      <c r="AH55" s="283" t="s">
        <v>238</v>
      </c>
      <c r="AI55" s="80" t="s">
        <v>234</v>
      </c>
      <c r="AJ55" s="338" t="s">
        <v>235</v>
      </c>
      <c r="AK55" s="284">
        <f>+'AMORTIZACION DE CREDITO'!N49</f>
        <v>0</v>
      </c>
      <c r="AL55" s="284">
        <f>+'AMORTIZACION DE CREDITO'!N52</f>
        <v>0</v>
      </c>
      <c r="AM55" s="284">
        <f>+'AMORTIZACION DE CREDITO'!N55</f>
        <v>0</v>
      </c>
      <c r="AN55" s="284">
        <f>+'AMORTIZACION DE CREDITO'!N58</f>
        <v>0</v>
      </c>
      <c r="AO55" s="284">
        <f>+'AMORTIZACION DE CREDITO'!N61</f>
        <v>0</v>
      </c>
      <c r="AP55" s="284">
        <f>+'AMORTIZACION DE CREDITO'!N64</f>
        <v>0</v>
      </c>
      <c r="AQ55" s="284">
        <f>+'AMORTIZACION DE CREDITO'!N67</f>
        <v>0</v>
      </c>
      <c r="AR55" s="284">
        <f>+'AMORTIZACION DE CREDITO'!N70</f>
        <v>0</v>
      </c>
    </row>
    <row r="56" spans="34:44" x14ac:dyDescent="0.3">
      <c r="AH56" s="218">
        <v>2.1</v>
      </c>
      <c r="AI56" s="232" t="s">
        <v>239</v>
      </c>
      <c r="AJ56" s="232"/>
      <c r="AK56" s="233">
        <f>AK55</f>
        <v>0</v>
      </c>
      <c r="AL56" s="233">
        <f t="shared" ref="AL56:AR56" si="20">AL55</f>
        <v>0</v>
      </c>
      <c r="AM56" s="233">
        <f t="shared" si="20"/>
        <v>0</v>
      </c>
      <c r="AN56" s="233">
        <f t="shared" si="20"/>
        <v>0</v>
      </c>
      <c r="AO56" s="233">
        <f t="shared" si="20"/>
        <v>0</v>
      </c>
      <c r="AP56" s="233">
        <f t="shared" si="20"/>
        <v>0</v>
      </c>
      <c r="AQ56" s="233">
        <f t="shared" si="20"/>
        <v>0</v>
      </c>
      <c r="AR56" s="233">
        <f t="shared" si="20"/>
        <v>0</v>
      </c>
    </row>
    <row r="57" spans="34:44" x14ac:dyDescent="0.3">
      <c r="AH57" s="271">
        <v>2.2999999999999998</v>
      </c>
      <c r="AI57" s="272" t="s">
        <v>240</v>
      </c>
      <c r="AJ57" s="272"/>
      <c r="AK57" s="273">
        <f>+AK53+AK56</f>
        <v>0</v>
      </c>
      <c r="AL57" s="273">
        <f t="shared" ref="AL57:AR57" si="21">+AL53+AL56</f>
        <v>0</v>
      </c>
      <c r="AM57" s="273">
        <f t="shared" si="21"/>
        <v>0</v>
      </c>
      <c r="AN57" s="273">
        <f t="shared" si="21"/>
        <v>0</v>
      </c>
      <c r="AO57" s="273">
        <f t="shared" si="21"/>
        <v>0</v>
      </c>
      <c r="AP57" s="273">
        <f t="shared" si="21"/>
        <v>0</v>
      </c>
      <c r="AQ57" s="273">
        <f t="shared" si="21"/>
        <v>0</v>
      </c>
      <c r="AR57" s="273">
        <f t="shared" si="21"/>
        <v>0</v>
      </c>
    </row>
    <row r="58" spans="34:44" x14ac:dyDescent="0.3">
      <c r="AH58" s="213">
        <v>2.4</v>
      </c>
      <c r="AI58" s="214" t="s">
        <v>241</v>
      </c>
      <c r="AJ58" s="215"/>
      <c r="AK58" s="216"/>
      <c r="AL58" s="216"/>
      <c r="AM58" s="216"/>
      <c r="AN58" s="216"/>
      <c r="AO58" s="216"/>
      <c r="AP58" s="216"/>
      <c r="AQ58" s="216"/>
      <c r="AR58" s="217"/>
    </row>
    <row r="59" spans="34:44" x14ac:dyDescent="0.3">
      <c r="AH59" s="80" t="s">
        <v>242</v>
      </c>
      <c r="AI59" s="82" t="s">
        <v>243</v>
      </c>
      <c r="AJ59" s="83" t="s">
        <v>244</v>
      </c>
      <c r="AK59" s="85">
        <f>FINANCIAMIENTO!O36</f>
        <v>0</v>
      </c>
      <c r="AL59" s="119">
        <f t="shared" ref="AL59:AR59" si="22">AK59</f>
        <v>0</v>
      </c>
      <c r="AM59" s="119">
        <f t="shared" si="22"/>
        <v>0</v>
      </c>
      <c r="AN59" s="119">
        <f t="shared" si="22"/>
        <v>0</v>
      </c>
      <c r="AO59" s="119">
        <f t="shared" si="22"/>
        <v>0</v>
      </c>
      <c r="AP59" s="119">
        <f t="shared" si="22"/>
        <v>0</v>
      </c>
      <c r="AQ59" s="119">
        <f t="shared" si="22"/>
        <v>0</v>
      </c>
      <c r="AR59" s="119">
        <f t="shared" si="22"/>
        <v>0</v>
      </c>
    </row>
    <row r="60" spans="34:44" x14ac:dyDescent="0.3">
      <c r="AH60" s="80" t="s">
        <v>245</v>
      </c>
      <c r="AI60" s="80" t="s">
        <v>246</v>
      </c>
      <c r="AJ60" s="81" t="s">
        <v>247</v>
      </c>
      <c r="AK60" s="86">
        <f>'ESTADO DE GANACIAS Y PERDIDAS'!M48+'ESTADO DE GANACIAS Y PERDIDAS'!N48+'ESTADO DE GANACIAS Y PERDIDAS'!O48</f>
        <v>0</v>
      </c>
      <c r="AL60" s="120">
        <f>'ESTADO DE GANACIAS Y PERDIDAS'!P48+'ESTADO DE GANACIAS Y PERDIDAS'!Q48+'ESTADO DE GANACIAS Y PERDIDAS'!R48</f>
        <v>0</v>
      </c>
      <c r="AM60" s="120">
        <f>'ESTADO DE GANACIAS Y PERDIDAS'!S48+'ESTADO DE GANACIAS Y PERDIDAS'!T48+'ESTADO DE GANACIAS Y PERDIDAS'!U48</f>
        <v>0</v>
      </c>
      <c r="AN60" s="120">
        <f>'ESTADO DE GANACIAS Y PERDIDAS'!V48+'ESTADO DE GANACIAS Y PERDIDAS'!W48+'ESTADO DE GANACIAS Y PERDIDAS'!X48</f>
        <v>0</v>
      </c>
      <c r="AO60" s="120">
        <f>'ESTADO DE GANACIAS Y PERDIDAS'!Y48+'ESTADO DE GANACIAS Y PERDIDAS'!Z48+'ESTADO DE GANACIAS Y PERDIDAS'!AA48</f>
        <v>0</v>
      </c>
      <c r="AP60" s="120">
        <f>'ESTADO DE GANACIAS Y PERDIDAS'!AB48+'ESTADO DE GANACIAS Y PERDIDAS'!AC48+'ESTADO DE GANACIAS Y PERDIDAS'!AD48</f>
        <v>0</v>
      </c>
      <c r="AQ60" s="120">
        <f>'ESTADO DE GANACIAS Y PERDIDAS'!AE48+'ESTADO DE GANACIAS Y PERDIDAS'!AF48+'ESTADO DE GANACIAS Y PERDIDAS'!AG48</f>
        <v>0</v>
      </c>
      <c r="AR60" s="120">
        <f>'ESTADO DE GANACIAS Y PERDIDAS'!AH48+'ESTADO DE GANACIAS Y PERDIDAS'!AI48+'ESTADO DE GANACIAS Y PERDIDAS'!AJ48</f>
        <v>0</v>
      </c>
    </row>
    <row r="61" spans="34:44" x14ac:dyDescent="0.3">
      <c r="AH61" s="80" t="s">
        <v>248</v>
      </c>
      <c r="AI61" s="80" t="s">
        <v>249</v>
      </c>
      <c r="AJ61" s="81" t="s">
        <v>250</v>
      </c>
      <c r="AK61" s="86">
        <v>0</v>
      </c>
      <c r="AL61" s="120">
        <f t="shared" ref="AL61:AR61" si="23">AK60+AK61</f>
        <v>0</v>
      </c>
      <c r="AM61" s="120">
        <f t="shared" si="23"/>
        <v>0</v>
      </c>
      <c r="AN61" s="120">
        <f t="shared" si="23"/>
        <v>0</v>
      </c>
      <c r="AO61" s="120">
        <f t="shared" si="23"/>
        <v>0</v>
      </c>
      <c r="AP61" s="120">
        <f t="shared" si="23"/>
        <v>0</v>
      </c>
      <c r="AQ61" s="120">
        <f t="shared" si="23"/>
        <v>0</v>
      </c>
      <c r="AR61" s="120">
        <f t="shared" si="23"/>
        <v>0</v>
      </c>
    </row>
    <row r="62" spans="34:44" x14ac:dyDescent="0.3">
      <c r="AH62" s="271">
        <v>2.4</v>
      </c>
      <c r="AI62" s="274" t="s">
        <v>251</v>
      </c>
      <c r="AJ62" s="274"/>
      <c r="AK62" s="275">
        <f>SUM(AK59:AK61)</f>
        <v>0</v>
      </c>
      <c r="AL62" s="275">
        <f t="shared" ref="AL62:AR62" si="24">SUM(AL59:AL61)</f>
        <v>0</v>
      </c>
      <c r="AM62" s="275">
        <f t="shared" si="24"/>
        <v>0</v>
      </c>
      <c r="AN62" s="275">
        <f t="shared" si="24"/>
        <v>0</v>
      </c>
      <c r="AO62" s="275">
        <f t="shared" si="24"/>
        <v>0</v>
      </c>
      <c r="AP62" s="275">
        <f t="shared" si="24"/>
        <v>0</v>
      </c>
      <c r="AQ62" s="275">
        <f t="shared" si="24"/>
        <v>0</v>
      </c>
      <c r="AR62" s="275">
        <f t="shared" si="24"/>
        <v>0</v>
      </c>
    </row>
    <row r="63" spans="34:44" x14ac:dyDescent="0.3">
      <c r="AH63" s="224">
        <v>2.5</v>
      </c>
      <c r="AI63" s="227" t="s">
        <v>252</v>
      </c>
      <c r="AJ63" s="227"/>
      <c r="AK63" s="228">
        <f t="shared" ref="AK63:AR63" si="25">AK62+AK57</f>
        <v>0</v>
      </c>
      <c r="AL63" s="228">
        <f t="shared" si="25"/>
        <v>0</v>
      </c>
      <c r="AM63" s="228">
        <f t="shared" si="25"/>
        <v>0</v>
      </c>
      <c r="AN63" s="228">
        <f t="shared" si="25"/>
        <v>0</v>
      </c>
      <c r="AO63" s="228">
        <f t="shared" si="25"/>
        <v>0</v>
      </c>
      <c r="AP63" s="228">
        <f t="shared" si="25"/>
        <v>0</v>
      </c>
      <c r="AQ63" s="228">
        <f t="shared" si="25"/>
        <v>0</v>
      </c>
      <c r="AR63" s="228">
        <f t="shared" si="25"/>
        <v>0</v>
      </c>
    </row>
  </sheetData>
  <mergeCells count="4">
    <mergeCell ref="A3:C3"/>
    <mergeCell ref="A1:K1"/>
    <mergeCell ref="AH33:AR33"/>
    <mergeCell ref="AH35:AJ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workbookViewId="0">
      <pane xSplit="2" ySplit="3" topLeftCell="P4" activePane="bottomRight" state="frozenSplit"/>
      <selection pane="topRight" activeCell="C1" sqref="C1"/>
      <selection pane="bottomLeft" activeCell="A3" sqref="A3"/>
      <selection pane="bottomRight" activeCell="B21" sqref="B21"/>
    </sheetView>
  </sheetViews>
  <sheetFormatPr baseColWidth="10" defaultColWidth="13.7109375" defaultRowHeight="12.75" x14ac:dyDescent="0.25"/>
  <cols>
    <col min="1" max="1" width="23.28515625" style="29" customWidth="1"/>
    <col min="2" max="2" width="10.7109375" style="29" bestFit="1" customWidth="1"/>
    <col min="3" max="3" width="11.42578125" style="29" bestFit="1" customWidth="1"/>
    <col min="4" max="21" width="12.28515625" style="29" bestFit="1" customWidth="1"/>
    <col min="22" max="26" width="13.140625" style="29" bestFit="1" customWidth="1"/>
    <col min="27" max="16384" width="13.7109375" style="29"/>
  </cols>
  <sheetData>
    <row r="1" spans="1:26" ht="13.5" x14ac:dyDescent="0.3">
      <c r="A1" s="394" t="s">
        <v>253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26" ht="13.5" x14ac:dyDescent="0.3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Y2" s="3" t="s">
        <v>254</v>
      </c>
      <c r="Z2" s="320">
        <v>0.13</v>
      </c>
    </row>
    <row r="3" spans="1:26" ht="13.5" x14ac:dyDescent="0.25">
      <c r="A3" s="202" t="s">
        <v>163</v>
      </c>
      <c r="B3" s="202">
        <v>0</v>
      </c>
      <c r="C3" s="202">
        <v>1</v>
      </c>
      <c r="D3" s="202">
        <v>2</v>
      </c>
      <c r="E3" s="202">
        <v>3</v>
      </c>
      <c r="F3" s="202">
        <v>4</v>
      </c>
      <c r="G3" s="202">
        <v>5</v>
      </c>
      <c r="H3" s="202">
        <v>6</v>
      </c>
      <c r="I3" s="202">
        <v>7</v>
      </c>
      <c r="J3" s="202">
        <v>8</v>
      </c>
      <c r="K3" s="202">
        <v>9</v>
      </c>
      <c r="L3" s="202">
        <v>10</v>
      </c>
      <c r="M3" s="202">
        <v>11</v>
      </c>
      <c r="N3" s="202">
        <v>12</v>
      </c>
      <c r="O3" s="202">
        <v>13</v>
      </c>
      <c r="P3" s="202">
        <v>14</v>
      </c>
      <c r="Q3" s="202">
        <v>15</v>
      </c>
      <c r="R3" s="202">
        <v>16</v>
      </c>
      <c r="S3" s="202">
        <v>17</v>
      </c>
      <c r="T3" s="202">
        <v>18</v>
      </c>
      <c r="U3" s="202">
        <v>19</v>
      </c>
      <c r="V3" s="202">
        <v>20</v>
      </c>
      <c r="W3" s="202">
        <v>21</v>
      </c>
      <c r="X3" s="202">
        <v>22</v>
      </c>
      <c r="Y3" s="202">
        <v>23</v>
      </c>
      <c r="Z3" s="202">
        <v>24</v>
      </c>
    </row>
    <row r="4" spans="1:26" ht="13.5" x14ac:dyDescent="0.3">
      <c r="A4" s="33" t="s">
        <v>255</v>
      </c>
      <c r="B4" s="61">
        <v>0</v>
      </c>
      <c r="C4" s="116">
        <f>'ESTADO DE GANACIAS Y PERDIDAS'!B4</f>
        <v>66920</v>
      </c>
      <c r="D4" s="116">
        <f>'ESTADO DE GANACIAS Y PERDIDAS'!C4</f>
        <v>66920</v>
      </c>
      <c r="E4" s="116">
        <f>'ESTADO DE GANACIAS Y PERDIDAS'!D4</f>
        <v>66920</v>
      </c>
      <c r="F4" s="116">
        <f>'ESTADO DE GANACIAS Y PERDIDAS'!E4</f>
        <v>33460</v>
      </c>
      <c r="G4" s="116">
        <f>'ESTADO DE GANACIAS Y PERDIDAS'!F4</f>
        <v>66920</v>
      </c>
      <c r="H4" s="116">
        <f>'ESTADO DE GANACIAS Y PERDIDAS'!G4</f>
        <v>33460</v>
      </c>
      <c r="I4" s="116">
        <f>'ESTADO DE GANACIAS Y PERDIDAS'!H4</f>
        <v>66920</v>
      </c>
      <c r="J4" s="116">
        <f>'ESTADO DE GANACIAS Y PERDIDAS'!I4</f>
        <v>66920</v>
      </c>
      <c r="K4" s="116">
        <f>'ESTADO DE GANACIAS Y PERDIDAS'!J4</f>
        <v>66920</v>
      </c>
      <c r="L4" s="116">
        <f>'ESTADO DE GANACIAS Y PERDIDAS'!K4</f>
        <v>66920</v>
      </c>
      <c r="M4" s="116">
        <f>'ESTADO DE GANACIAS Y PERDIDAS'!L4</f>
        <v>66920</v>
      </c>
      <c r="N4" s="116">
        <f>'ESTADO DE GANACIAS Y PERDIDAS'!M4</f>
        <v>66920</v>
      </c>
      <c r="O4" s="116">
        <f>'ESTADO DE GANACIAS Y PERDIDAS'!N4</f>
        <v>66920</v>
      </c>
      <c r="P4" s="116">
        <f>'ESTADO DE GANACIAS Y PERDIDAS'!O4</f>
        <v>66920</v>
      </c>
      <c r="Q4" s="116">
        <f>'ESTADO DE GANACIAS Y PERDIDAS'!P4</f>
        <v>66920</v>
      </c>
      <c r="R4" s="116">
        <f>'ESTADO DE GANACIAS Y PERDIDAS'!Q4</f>
        <v>66920</v>
      </c>
      <c r="S4" s="116">
        <f>'ESTADO DE GANACIAS Y PERDIDAS'!R4</f>
        <v>66920</v>
      </c>
      <c r="T4" s="116">
        <f>'ESTADO DE GANACIAS Y PERDIDAS'!S4</f>
        <v>66920</v>
      </c>
      <c r="U4" s="116">
        <f>'ESTADO DE GANACIAS Y PERDIDAS'!T4</f>
        <v>66920</v>
      </c>
      <c r="V4" s="116">
        <f>'ESTADO DE GANACIAS Y PERDIDAS'!U4</f>
        <v>66920</v>
      </c>
      <c r="W4" s="116">
        <f>'ESTADO DE GANACIAS Y PERDIDAS'!V4</f>
        <v>66920</v>
      </c>
      <c r="X4" s="116">
        <f>'ESTADO DE GANACIAS Y PERDIDAS'!W4</f>
        <v>66920</v>
      </c>
      <c r="Y4" s="116">
        <f>'ESTADO DE GANACIAS Y PERDIDAS'!X4</f>
        <v>66920</v>
      </c>
      <c r="Z4" s="116">
        <f>'ESTADO DE GANACIAS Y PERDIDAS'!Y4</f>
        <v>66920</v>
      </c>
    </row>
    <row r="5" spans="1:26" ht="13.5" x14ac:dyDescent="0.3">
      <c r="A5" s="33"/>
      <c r="B5" s="61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3.5" x14ac:dyDescent="0.3">
      <c r="A6" s="33" t="s">
        <v>256</v>
      </c>
      <c r="B6" s="61">
        <f>B7+B8+B9+B10</f>
        <v>71421.600000000006</v>
      </c>
      <c r="C6" s="116">
        <f t="shared" ref="C6:Z6" si="0">C7+C8+C9+C10</f>
        <v>39269.738333333335</v>
      </c>
      <c r="D6" s="116">
        <f t="shared" si="0"/>
        <v>39269.738333333335</v>
      </c>
      <c r="E6" s="116">
        <f t="shared" si="0"/>
        <v>39269.738333333335</v>
      </c>
      <c r="F6" s="116">
        <f t="shared" si="0"/>
        <v>23215.938333333335</v>
      </c>
      <c r="G6" s="116">
        <f t="shared" si="0"/>
        <v>39269.738333333335</v>
      </c>
      <c r="H6" s="116">
        <f t="shared" si="0"/>
        <v>23215.938333333335</v>
      </c>
      <c r="I6" s="116">
        <f t="shared" si="0"/>
        <v>44283.738333333335</v>
      </c>
      <c r="J6" s="116">
        <f t="shared" si="0"/>
        <v>39269.738333333335</v>
      </c>
      <c r="K6" s="116">
        <f t="shared" si="0"/>
        <v>39269.738333333335</v>
      </c>
      <c r="L6" s="116">
        <f t="shared" si="0"/>
        <v>39269.738333333335</v>
      </c>
      <c r="M6" s="116">
        <f t="shared" si="0"/>
        <v>39269.738333333335</v>
      </c>
      <c r="N6" s="116">
        <f t="shared" si="0"/>
        <v>44283.738333333335</v>
      </c>
      <c r="O6" s="116">
        <f t="shared" si="0"/>
        <v>39269.738333333335</v>
      </c>
      <c r="P6" s="116">
        <f t="shared" si="0"/>
        <v>39269.738333333335</v>
      </c>
      <c r="Q6" s="116">
        <f t="shared" si="0"/>
        <v>39269.738333333335</v>
      </c>
      <c r="R6" s="116">
        <f t="shared" si="0"/>
        <v>39269.738333333335</v>
      </c>
      <c r="S6" s="116">
        <f t="shared" si="0"/>
        <v>39269.738333333335</v>
      </c>
      <c r="T6" s="116">
        <f t="shared" si="0"/>
        <v>39269.738333333335</v>
      </c>
      <c r="U6" s="116">
        <f t="shared" si="0"/>
        <v>44283.738333333335</v>
      </c>
      <c r="V6" s="116">
        <f t="shared" si="0"/>
        <v>39269.738333333335</v>
      </c>
      <c r="W6" s="116">
        <f t="shared" si="0"/>
        <v>39269.738333333335</v>
      </c>
      <c r="X6" s="116">
        <f t="shared" si="0"/>
        <v>39269.738333333335</v>
      </c>
      <c r="Y6" s="116">
        <f t="shared" si="0"/>
        <v>39269.738333333335</v>
      </c>
      <c r="Z6" s="116">
        <f t="shared" si="0"/>
        <v>44283.738333333335</v>
      </c>
    </row>
    <row r="7" spans="1:26" ht="13.5" x14ac:dyDescent="0.3">
      <c r="A7" s="33" t="s">
        <v>257</v>
      </c>
      <c r="B7" s="61">
        <f>'INVERSION TOTAL'!E57</f>
        <v>71421.600000000006</v>
      </c>
      <c r="C7" s="117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3.5" x14ac:dyDescent="0.3">
      <c r="A8" s="33" t="s">
        <v>258</v>
      </c>
      <c r="B8" s="61"/>
      <c r="C8" s="116">
        <f>'PRESUPUESTO DE GASTOS'!B4</f>
        <v>37884.669166666667</v>
      </c>
      <c r="D8" s="116">
        <f>'PRESUPUESTO DE GASTOS'!C4</f>
        <v>37884.669166666667</v>
      </c>
      <c r="E8" s="116">
        <f>'PRESUPUESTO DE GASTOS'!D4</f>
        <v>37884.669166666667</v>
      </c>
      <c r="F8" s="116">
        <f>'PRESUPUESTO DE GASTOS'!E4</f>
        <v>21830.869166666667</v>
      </c>
      <c r="G8" s="116">
        <f>'PRESUPUESTO DE GASTOS'!F4</f>
        <v>37884.669166666667</v>
      </c>
      <c r="H8" s="116">
        <f>'PRESUPUESTO DE GASTOS'!G4</f>
        <v>21830.869166666667</v>
      </c>
      <c r="I8" s="116">
        <f>'PRESUPUESTO DE GASTOS'!H4</f>
        <v>41917.669166666667</v>
      </c>
      <c r="J8" s="116">
        <f>'PRESUPUESTO DE GASTOS'!I4</f>
        <v>37884.669166666667</v>
      </c>
      <c r="K8" s="116">
        <f>'PRESUPUESTO DE GASTOS'!J4</f>
        <v>37884.669166666667</v>
      </c>
      <c r="L8" s="116">
        <f>'PRESUPUESTO DE GASTOS'!K4</f>
        <v>37884.669166666667</v>
      </c>
      <c r="M8" s="116">
        <f>'PRESUPUESTO DE GASTOS'!L4</f>
        <v>37884.669166666667</v>
      </c>
      <c r="N8" s="116">
        <f>'PRESUPUESTO DE GASTOS'!M4</f>
        <v>41917.669166666667</v>
      </c>
      <c r="O8" s="116">
        <f>'PRESUPUESTO DE GASTOS'!N4</f>
        <v>37884.669166666667</v>
      </c>
      <c r="P8" s="116">
        <f>'PRESUPUESTO DE GASTOS'!O4</f>
        <v>37884.669166666667</v>
      </c>
      <c r="Q8" s="116">
        <f>'PRESUPUESTO DE GASTOS'!P4</f>
        <v>37884.669166666667</v>
      </c>
      <c r="R8" s="116">
        <f>'PRESUPUESTO DE GASTOS'!Q4</f>
        <v>37884.669166666667</v>
      </c>
      <c r="S8" s="116">
        <f>'PRESUPUESTO DE GASTOS'!R4</f>
        <v>37884.669166666667</v>
      </c>
      <c r="T8" s="116">
        <f>'PRESUPUESTO DE GASTOS'!S4</f>
        <v>37884.669166666667</v>
      </c>
      <c r="U8" s="116">
        <f>'PRESUPUESTO DE GASTOS'!T4</f>
        <v>41917.669166666667</v>
      </c>
      <c r="V8" s="116">
        <f>'PRESUPUESTO DE GASTOS'!U4</f>
        <v>37884.669166666667</v>
      </c>
      <c r="W8" s="116">
        <f>'PRESUPUESTO DE GASTOS'!V4</f>
        <v>37884.669166666667</v>
      </c>
      <c r="X8" s="116">
        <f>'PRESUPUESTO DE GASTOS'!W4</f>
        <v>37884.669166666667</v>
      </c>
      <c r="Y8" s="116">
        <f>'PRESUPUESTO DE GASTOS'!X4</f>
        <v>37884.669166666667</v>
      </c>
      <c r="Z8" s="116">
        <f>'PRESUPUESTO DE GASTOS'!Y4</f>
        <v>41917.669166666667</v>
      </c>
    </row>
    <row r="9" spans="1:26" ht="13.5" x14ac:dyDescent="0.3">
      <c r="A9" s="33" t="s">
        <v>259</v>
      </c>
      <c r="B9" s="61"/>
      <c r="C9" s="116">
        <f>'PRESUPUESTO DE GASTOS'!B33</f>
        <v>280</v>
      </c>
      <c r="D9" s="116">
        <f>'PRESUPUESTO DE GASTOS'!C33</f>
        <v>280</v>
      </c>
      <c r="E9" s="116">
        <f>'PRESUPUESTO DE GASTOS'!D33</f>
        <v>280</v>
      </c>
      <c r="F9" s="116">
        <f>'PRESUPUESTO DE GASTOS'!E33</f>
        <v>280</v>
      </c>
      <c r="G9" s="116">
        <f>'PRESUPUESTO DE GASTOS'!F33</f>
        <v>280</v>
      </c>
      <c r="H9" s="116">
        <f>'PRESUPUESTO DE GASTOS'!G33</f>
        <v>280</v>
      </c>
      <c r="I9" s="116">
        <f>'PRESUPUESTO DE GASTOS'!H33</f>
        <v>280</v>
      </c>
      <c r="J9" s="116">
        <f>'PRESUPUESTO DE GASTOS'!I33</f>
        <v>280</v>
      </c>
      <c r="K9" s="116">
        <f>'PRESUPUESTO DE GASTOS'!J33</f>
        <v>280</v>
      </c>
      <c r="L9" s="116">
        <f>'PRESUPUESTO DE GASTOS'!K33</f>
        <v>280</v>
      </c>
      <c r="M9" s="116">
        <f>'PRESUPUESTO DE GASTOS'!L33</f>
        <v>280</v>
      </c>
      <c r="N9" s="116">
        <f>'PRESUPUESTO DE GASTOS'!M33</f>
        <v>280</v>
      </c>
      <c r="O9" s="116">
        <f>'PRESUPUESTO DE GASTOS'!N33</f>
        <v>280</v>
      </c>
      <c r="P9" s="116">
        <f>'PRESUPUESTO DE GASTOS'!O33</f>
        <v>280</v>
      </c>
      <c r="Q9" s="116">
        <f>'PRESUPUESTO DE GASTOS'!P33</f>
        <v>280</v>
      </c>
      <c r="R9" s="116">
        <f>'PRESUPUESTO DE GASTOS'!Q33</f>
        <v>280</v>
      </c>
      <c r="S9" s="116">
        <f>'PRESUPUESTO DE GASTOS'!R33</f>
        <v>280</v>
      </c>
      <c r="T9" s="116">
        <f>'PRESUPUESTO DE GASTOS'!S33</f>
        <v>280</v>
      </c>
      <c r="U9" s="116">
        <f>'PRESUPUESTO DE GASTOS'!T33</f>
        <v>280</v>
      </c>
      <c r="V9" s="116">
        <f>'PRESUPUESTO DE GASTOS'!U33</f>
        <v>280</v>
      </c>
      <c r="W9" s="116">
        <f>'PRESUPUESTO DE GASTOS'!V33</f>
        <v>280</v>
      </c>
      <c r="X9" s="116">
        <f>'PRESUPUESTO DE GASTOS'!W33</f>
        <v>280</v>
      </c>
      <c r="Y9" s="116">
        <f>'PRESUPUESTO DE GASTOS'!X33</f>
        <v>280</v>
      </c>
      <c r="Z9" s="116">
        <f>'PRESUPUESTO DE GASTOS'!Y33</f>
        <v>280</v>
      </c>
    </row>
    <row r="10" spans="1:26" ht="13.5" x14ac:dyDescent="0.3">
      <c r="A10" s="33" t="s">
        <v>260</v>
      </c>
      <c r="B10" s="61"/>
      <c r="C10" s="116">
        <f>'PRESUPUESTO DE GASTOS'!B37</f>
        <v>1105.0691666666667</v>
      </c>
      <c r="D10" s="116">
        <f>'PRESUPUESTO DE GASTOS'!C37</f>
        <v>1105.0691666666667</v>
      </c>
      <c r="E10" s="116">
        <f>'PRESUPUESTO DE GASTOS'!D37</f>
        <v>1105.0691666666667</v>
      </c>
      <c r="F10" s="116">
        <f>'PRESUPUESTO DE GASTOS'!E37</f>
        <v>1105.0691666666667</v>
      </c>
      <c r="G10" s="116">
        <f>'PRESUPUESTO DE GASTOS'!F37</f>
        <v>1105.0691666666667</v>
      </c>
      <c r="H10" s="116">
        <f>'PRESUPUESTO DE GASTOS'!G37</f>
        <v>1105.0691666666667</v>
      </c>
      <c r="I10" s="116">
        <f>'PRESUPUESTO DE GASTOS'!H37</f>
        <v>2086.0691666666667</v>
      </c>
      <c r="J10" s="116">
        <f>'PRESUPUESTO DE GASTOS'!I37</f>
        <v>1105.0691666666667</v>
      </c>
      <c r="K10" s="116">
        <f>'PRESUPUESTO DE GASTOS'!J37</f>
        <v>1105.0691666666667</v>
      </c>
      <c r="L10" s="116">
        <f>'PRESUPUESTO DE GASTOS'!K37</f>
        <v>1105.0691666666667</v>
      </c>
      <c r="M10" s="116">
        <f>'PRESUPUESTO DE GASTOS'!L37</f>
        <v>1105.0691666666667</v>
      </c>
      <c r="N10" s="116">
        <f>'PRESUPUESTO DE GASTOS'!M37</f>
        <v>2086.0691666666667</v>
      </c>
      <c r="O10" s="116">
        <f>'PRESUPUESTO DE GASTOS'!N37</f>
        <v>1105.0691666666667</v>
      </c>
      <c r="P10" s="116">
        <f>'PRESUPUESTO DE GASTOS'!O37</f>
        <v>1105.0691666666667</v>
      </c>
      <c r="Q10" s="116">
        <f>'PRESUPUESTO DE GASTOS'!P37</f>
        <v>1105.0691666666667</v>
      </c>
      <c r="R10" s="116">
        <f>'PRESUPUESTO DE GASTOS'!Q37</f>
        <v>1105.0691666666667</v>
      </c>
      <c r="S10" s="116">
        <f>'PRESUPUESTO DE GASTOS'!R37</f>
        <v>1105.0691666666667</v>
      </c>
      <c r="T10" s="116">
        <f>'PRESUPUESTO DE GASTOS'!S37</f>
        <v>1105.0691666666667</v>
      </c>
      <c r="U10" s="116">
        <f>'PRESUPUESTO DE GASTOS'!T37</f>
        <v>2086.0691666666667</v>
      </c>
      <c r="V10" s="116">
        <f>'PRESUPUESTO DE GASTOS'!U37</f>
        <v>1105.0691666666667</v>
      </c>
      <c r="W10" s="116">
        <f>'PRESUPUESTO DE GASTOS'!V37</f>
        <v>1105.0691666666667</v>
      </c>
      <c r="X10" s="116">
        <f>'PRESUPUESTO DE GASTOS'!W37</f>
        <v>1105.0691666666667</v>
      </c>
      <c r="Y10" s="116">
        <f>'PRESUPUESTO DE GASTOS'!X37</f>
        <v>1105.0691666666667</v>
      </c>
      <c r="Z10" s="116">
        <f>'PRESUPUESTO DE GASTOS'!Y37</f>
        <v>2086.0691666666667</v>
      </c>
    </row>
    <row r="11" spans="1:26" ht="13.5" x14ac:dyDescent="0.3">
      <c r="A11" s="33"/>
      <c r="B11" s="61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:26" ht="13.5" x14ac:dyDescent="0.3">
      <c r="A12" s="205" t="s">
        <v>261</v>
      </c>
      <c r="B12" s="234">
        <f>B4-B6</f>
        <v>-71421.600000000006</v>
      </c>
      <c r="C12" s="234">
        <f t="shared" ref="C12:Z12" si="1">C4-C6</f>
        <v>27650.261666666665</v>
      </c>
      <c r="D12" s="234">
        <f t="shared" si="1"/>
        <v>27650.261666666665</v>
      </c>
      <c r="E12" s="234">
        <f t="shared" si="1"/>
        <v>27650.261666666665</v>
      </c>
      <c r="F12" s="234">
        <f t="shared" si="1"/>
        <v>10244.061666666665</v>
      </c>
      <c r="G12" s="234">
        <f t="shared" si="1"/>
        <v>27650.261666666665</v>
      </c>
      <c r="H12" s="234">
        <f t="shared" si="1"/>
        <v>10244.061666666665</v>
      </c>
      <c r="I12" s="234">
        <f t="shared" si="1"/>
        <v>22636.261666666665</v>
      </c>
      <c r="J12" s="234">
        <f t="shared" si="1"/>
        <v>27650.261666666665</v>
      </c>
      <c r="K12" s="234">
        <f t="shared" si="1"/>
        <v>27650.261666666665</v>
      </c>
      <c r="L12" s="234">
        <f t="shared" si="1"/>
        <v>27650.261666666665</v>
      </c>
      <c r="M12" s="234">
        <f t="shared" si="1"/>
        <v>27650.261666666665</v>
      </c>
      <c r="N12" s="234">
        <f t="shared" si="1"/>
        <v>22636.261666666665</v>
      </c>
      <c r="O12" s="234">
        <f t="shared" si="1"/>
        <v>27650.261666666665</v>
      </c>
      <c r="P12" s="234">
        <f t="shared" si="1"/>
        <v>27650.261666666665</v>
      </c>
      <c r="Q12" s="234">
        <f t="shared" si="1"/>
        <v>27650.261666666665</v>
      </c>
      <c r="R12" s="234">
        <f t="shared" si="1"/>
        <v>27650.261666666665</v>
      </c>
      <c r="S12" s="234">
        <f t="shared" si="1"/>
        <v>27650.261666666665</v>
      </c>
      <c r="T12" s="234">
        <f t="shared" si="1"/>
        <v>27650.261666666665</v>
      </c>
      <c r="U12" s="234">
        <f t="shared" si="1"/>
        <v>22636.261666666665</v>
      </c>
      <c r="V12" s="234">
        <f t="shared" si="1"/>
        <v>27650.261666666665</v>
      </c>
      <c r="W12" s="234">
        <f t="shared" si="1"/>
        <v>27650.261666666665</v>
      </c>
      <c r="X12" s="234">
        <f t="shared" si="1"/>
        <v>27650.261666666665</v>
      </c>
      <c r="Y12" s="234">
        <f t="shared" si="1"/>
        <v>27650.261666666665</v>
      </c>
      <c r="Z12" s="234">
        <f t="shared" si="1"/>
        <v>22636.261666666665</v>
      </c>
    </row>
    <row r="13" spans="1:26" ht="13.5" x14ac:dyDescent="0.3">
      <c r="A13" s="33" t="s">
        <v>262</v>
      </c>
      <c r="B13" s="61">
        <f>'AMORTIZACION DE CREDITO'!C3</f>
        <v>47921.599999999999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3.5" x14ac:dyDescent="0.3">
      <c r="A14" s="33" t="s">
        <v>263</v>
      </c>
      <c r="B14" s="61"/>
      <c r="C14" s="116">
        <f>+'AMORTIZACION DE CREDITO'!D16</f>
        <v>1391.9986481401559</v>
      </c>
      <c r="D14" s="116">
        <f>+'AMORTIZACION DE CREDITO'!D17</f>
        <v>1433.7586075843606</v>
      </c>
      <c r="E14" s="116">
        <f>+'AMORTIZACION DE CREDITO'!D18</f>
        <v>1476.7713658118914</v>
      </c>
      <c r="F14" s="116">
        <f>+'AMORTIZACION DE CREDITO'!D19</f>
        <v>1521.0745067862479</v>
      </c>
      <c r="G14" s="116">
        <f>+'AMORTIZACION DE CREDITO'!D20</f>
        <v>1566.7067419898353</v>
      </c>
      <c r="H14" s="116">
        <f>+'AMORTIZACION DE CREDITO'!D21</f>
        <v>1613.7079442495303</v>
      </c>
      <c r="I14" s="116">
        <f>+'AMORTIZACION DE CREDITO'!D22</f>
        <v>1662.1191825770163</v>
      </c>
      <c r="J14" s="116">
        <f>+'AMORTIZACION DE CREDITO'!D23</f>
        <v>1711.9827580543267</v>
      </c>
      <c r="K14" s="116">
        <f>+'AMORTIZACION DE CREDITO'!D24</f>
        <v>1763.3422407959565</v>
      </c>
      <c r="L14" s="116">
        <f>+'AMORTIZACION DE CREDITO'!D25</f>
        <v>1816.2425080198354</v>
      </c>
      <c r="M14" s="116">
        <f>+'AMORTIZACION DE CREDITO'!D26</f>
        <v>1870.7297832604304</v>
      </c>
      <c r="N14" s="116">
        <f>+'AMORTIZACION DE CREDITO'!D27</f>
        <v>1926.8516767582435</v>
      </c>
      <c r="O14" s="116">
        <f>+'AMORTIZACION DE CREDITO'!D28</f>
        <v>1984.6572270609909</v>
      </c>
      <c r="P14" s="116">
        <f>+'AMORTIZACION DE CREDITO'!D29</f>
        <v>2044.1969438728204</v>
      </c>
      <c r="Q14" s="116">
        <f>+'AMORTIZACION DE CREDITO'!D29</f>
        <v>2044.1969438728204</v>
      </c>
      <c r="R14" s="116">
        <f>+'AMORTIZACION DE CREDITO'!D30</f>
        <v>2105.5228521890049</v>
      </c>
      <c r="S14" s="116">
        <f>+'AMORTIZACION DE CREDITO'!D31</f>
        <v>2168.6885377546751</v>
      </c>
      <c r="T14" s="116">
        <f>+'AMORTIZACION DE CREDITO'!D32</f>
        <v>2233.7491938873154</v>
      </c>
      <c r="U14" s="116">
        <f>+'AMORTIZACION DE CREDITO'!D33</f>
        <v>2300.7616697039348</v>
      </c>
      <c r="V14" s="116">
        <f>+'AMORTIZACION DE CREDITO'!D34</f>
        <v>2369.7845197950528</v>
      </c>
      <c r="W14" s="116">
        <f>+'AMORTIZACION DE CREDITO'!D35</f>
        <v>2440.8780553889046</v>
      </c>
      <c r="X14" s="116">
        <f>+'AMORTIZACION DE CREDITO'!D36</f>
        <v>2514.1043970505716</v>
      </c>
      <c r="Y14" s="116">
        <f>+'AMORTIZACION DE CREDITO'!D37</f>
        <v>2589.5275289620886</v>
      </c>
      <c r="Z14" s="116">
        <f>+'AMORTIZACION DE CREDITO'!D38</f>
        <v>2667.2133548309516</v>
      </c>
    </row>
    <row r="15" spans="1:26" ht="13.5" x14ac:dyDescent="0.3">
      <c r="A15" s="33" t="s">
        <v>264</v>
      </c>
      <c r="B15" s="61"/>
      <c r="C15" s="116">
        <f>+'ESTADO DE GANACIAS Y PERDIDAS'!B13</f>
        <v>1437.6479999999999</v>
      </c>
      <c r="D15" s="116">
        <f>+'ESTADO DE GANACIAS Y PERDIDAS'!C13</f>
        <v>1395.8880405557952</v>
      </c>
      <c r="E15" s="116">
        <f>+'ESTADO DE GANACIAS Y PERDIDAS'!D13</f>
        <v>1352.8752823282643</v>
      </c>
      <c r="F15" s="116">
        <f>+'ESTADO DE GANACIAS Y PERDIDAS'!E13</f>
        <v>1308.5721413539079</v>
      </c>
      <c r="G15" s="116">
        <f>+'ESTADO DE GANACIAS Y PERDIDAS'!F13</f>
        <v>1262.9399061503204</v>
      </c>
      <c r="H15" s="116">
        <f>+'ESTADO DE GANACIAS Y PERDIDAS'!G13</f>
        <v>1215.9387038906254</v>
      </c>
      <c r="I15" s="116">
        <f>+'ESTADO DE GANACIAS Y PERDIDAS'!H13</f>
        <v>1167.5274655631395</v>
      </c>
      <c r="J15" s="116">
        <f>+'ESTADO DE GANACIAS Y PERDIDAS'!I13</f>
        <v>1117.6638900858291</v>
      </c>
      <c r="K15" s="116">
        <f>+'ESTADO DE GANACIAS Y PERDIDAS'!J13</f>
        <v>1066.3044073441993</v>
      </c>
      <c r="L15" s="116">
        <f>+'ESTADO DE GANACIAS Y PERDIDAS'!K13</f>
        <v>1013.4041401203203</v>
      </c>
      <c r="M15" s="116">
        <f>+'ESTADO DE GANACIAS Y PERDIDAS'!L13</f>
        <v>958.91686487972538</v>
      </c>
      <c r="N15" s="116">
        <f>+'ESTADO DE GANACIAS Y PERDIDAS'!M13</f>
        <v>902.79497138191232</v>
      </c>
      <c r="O15" s="116">
        <f>+'ESTADO DE GANACIAS Y PERDIDAS'!N13</f>
        <v>844.98942107916491</v>
      </c>
      <c r="P15" s="116">
        <f>+'ESTADO DE GANACIAS Y PERDIDAS'!O13</f>
        <v>785.44970426733539</v>
      </c>
      <c r="Q15" s="116">
        <f>+'ESTADO DE GANACIAS Y PERDIDAS'!P13</f>
        <v>724.1237959511509</v>
      </c>
      <c r="R15" s="116">
        <f>+'ESTADO DE GANACIAS Y PERDIDAS'!Q13</f>
        <v>660.95811038548072</v>
      </c>
      <c r="S15" s="116">
        <f>+'ESTADO DE GANACIAS Y PERDIDAS'!R13</f>
        <v>595.89745425284036</v>
      </c>
      <c r="T15" s="116">
        <f>+'ESTADO DE GANACIAS Y PERDIDAS'!S13</f>
        <v>528.88497843622099</v>
      </c>
      <c r="U15" s="116">
        <f>+'ESTADO DE GANACIAS Y PERDIDAS'!T13</f>
        <v>459.86212834510297</v>
      </c>
      <c r="V15" s="116">
        <f>+'ESTADO DE GANACIAS Y PERDIDAS'!U13</f>
        <v>388.76859275125116</v>
      </c>
      <c r="W15" s="116">
        <f>+'ESTADO DE GANACIAS Y PERDIDAS'!V13</f>
        <v>315.54225108958417</v>
      </c>
      <c r="X15" s="116">
        <f>+'ESTADO DE GANACIAS Y PERDIDAS'!W13</f>
        <v>240.11911917806719</v>
      </c>
      <c r="Y15" s="116">
        <f>+'ESTADO DE GANACIAS Y PERDIDAS'!X13</f>
        <v>162.43329330920415</v>
      </c>
      <c r="Z15" s="116">
        <f>+'ESTADO DE GANACIAS Y PERDIDAS'!Y13</f>
        <v>82.416892664275565</v>
      </c>
    </row>
    <row r="16" spans="1:26" ht="13.5" x14ac:dyDescent="0.3">
      <c r="A16" s="33"/>
      <c r="B16" s="6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ht="13.5" x14ac:dyDescent="0.3">
      <c r="A17" s="205" t="s">
        <v>265</v>
      </c>
      <c r="B17" s="234">
        <f>B12+B13</f>
        <v>-23500.000000000007</v>
      </c>
      <c r="C17" s="234">
        <f>C12-C14-C15</f>
        <v>24820.615018526507</v>
      </c>
      <c r="D17" s="234">
        <f t="shared" ref="D17:Z17" si="2">D12-D14-D15</f>
        <v>24820.615018526511</v>
      </c>
      <c r="E17" s="234">
        <f t="shared" si="2"/>
        <v>24820.615018526511</v>
      </c>
      <c r="F17" s="234">
        <f t="shared" si="2"/>
        <v>7414.4150185265089</v>
      </c>
      <c r="G17" s="234">
        <f t="shared" si="2"/>
        <v>24820.615018526511</v>
      </c>
      <c r="H17" s="234">
        <f t="shared" si="2"/>
        <v>7414.4150185265089</v>
      </c>
      <c r="I17" s="234">
        <f t="shared" si="2"/>
        <v>19806.615018526511</v>
      </c>
      <c r="J17" s="234">
        <f t="shared" si="2"/>
        <v>24820.615018526507</v>
      </c>
      <c r="K17" s="234">
        <f t="shared" si="2"/>
        <v>24820.615018526511</v>
      </c>
      <c r="L17" s="234">
        <f t="shared" si="2"/>
        <v>24820.615018526507</v>
      </c>
      <c r="M17" s="234">
        <f t="shared" si="2"/>
        <v>24820.615018526511</v>
      </c>
      <c r="N17" s="234">
        <f t="shared" si="2"/>
        <v>19806.615018526511</v>
      </c>
      <c r="O17" s="234">
        <f t="shared" si="2"/>
        <v>24820.615018526511</v>
      </c>
      <c r="P17" s="234">
        <f t="shared" si="2"/>
        <v>24820.615018526511</v>
      </c>
      <c r="Q17" s="234">
        <f t="shared" si="2"/>
        <v>24881.940926842697</v>
      </c>
      <c r="R17" s="234">
        <f t="shared" si="2"/>
        <v>24883.78070409218</v>
      </c>
      <c r="S17" s="234">
        <f t="shared" si="2"/>
        <v>24885.675674659149</v>
      </c>
      <c r="T17" s="234">
        <f t="shared" si="2"/>
        <v>24887.627494343131</v>
      </c>
      <c r="U17" s="234">
        <f t="shared" si="2"/>
        <v>19875.637868617629</v>
      </c>
      <c r="V17" s="234">
        <f t="shared" si="2"/>
        <v>24891.708554120363</v>
      </c>
      <c r="W17" s="234">
        <f t="shared" si="2"/>
        <v>24893.841360188177</v>
      </c>
      <c r="X17" s="234">
        <f t="shared" si="2"/>
        <v>24896.038150438028</v>
      </c>
      <c r="Y17" s="234">
        <f t="shared" si="2"/>
        <v>24898.300844395373</v>
      </c>
      <c r="Z17" s="234">
        <f t="shared" si="2"/>
        <v>19886.631419171441</v>
      </c>
    </row>
    <row r="18" spans="1:26" ht="13.5" x14ac:dyDescent="0.3">
      <c r="A18" s="33" t="s">
        <v>266</v>
      </c>
      <c r="B18" s="116">
        <f>FINANCIAMIENTO!D5</f>
        <v>23500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</row>
    <row r="19" spans="1:26" ht="13.5" x14ac:dyDescent="0.3">
      <c r="A19" s="33" t="s">
        <v>267</v>
      </c>
      <c r="B19" s="117">
        <v>0</v>
      </c>
      <c r="C19" s="369">
        <f>C17</f>
        <v>24820.615018526507</v>
      </c>
      <c r="D19" s="369">
        <f t="shared" ref="D19:Z19" si="3">C19+D17</f>
        <v>49641.230037053014</v>
      </c>
      <c r="E19" s="369">
        <f t="shared" si="3"/>
        <v>74461.845055579528</v>
      </c>
      <c r="F19" s="369">
        <f t="shared" si="3"/>
        <v>81876.260074106031</v>
      </c>
      <c r="G19" s="369">
        <f t="shared" si="3"/>
        <v>106696.87509263254</v>
      </c>
      <c r="H19" s="369">
        <f t="shared" si="3"/>
        <v>114111.29011115905</v>
      </c>
      <c r="I19" s="369">
        <f t="shared" si="3"/>
        <v>133917.90512968556</v>
      </c>
      <c r="J19" s="369">
        <f t="shared" si="3"/>
        <v>158738.52014821206</v>
      </c>
      <c r="K19" s="369">
        <f t="shared" si="3"/>
        <v>183559.13516673856</v>
      </c>
      <c r="L19" s="369">
        <f t="shared" si="3"/>
        <v>208379.75018526506</v>
      </c>
      <c r="M19" s="369">
        <f t="shared" si="3"/>
        <v>233200.36520379156</v>
      </c>
      <c r="N19" s="369">
        <f t="shared" si="3"/>
        <v>253006.98022231806</v>
      </c>
      <c r="O19" s="369">
        <f t="shared" si="3"/>
        <v>277827.59524084459</v>
      </c>
      <c r="P19" s="369">
        <f t="shared" si="3"/>
        <v>302648.21025937109</v>
      </c>
      <c r="Q19" s="369">
        <f t="shared" si="3"/>
        <v>327530.15118621377</v>
      </c>
      <c r="R19" s="369">
        <f t="shared" si="3"/>
        <v>352413.93189030595</v>
      </c>
      <c r="S19" s="369">
        <f t="shared" si="3"/>
        <v>377299.60756496509</v>
      </c>
      <c r="T19" s="369">
        <f t="shared" si="3"/>
        <v>402187.23505930824</v>
      </c>
      <c r="U19" s="369">
        <f t="shared" si="3"/>
        <v>422062.87292792584</v>
      </c>
      <c r="V19" s="369">
        <f t="shared" si="3"/>
        <v>446954.58148204623</v>
      </c>
      <c r="W19" s="369">
        <f t="shared" si="3"/>
        <v>471848.42284223437</v>
      </c>
      <c r="X19" s="369">
        <f t="shared" si="3"/>
        <v>496744.46099267242</v>
      </c>
      <c r="Y19" s="369">
        <f t="shared" si="3"/>
        <v>521642.76183706778</v>
      </c>
      <c r="Z19" s="369">
        <f t="shared" si="3"/>
        <v>541529.39325623924</v>
      </c>
    </row>
    <row r="20" spans="1:26" ht="13.5" x14ac:dyDescent="0.3">
      <c r="A20" s="205" t="s">
        <v>268</v>
      </c>
      <c r="B20" s="403">
        <f>IRR(B17:Z17)</f>
        <v>0.99633958532415168</v>
      </c>
      <c r="F20" s="3"/>
    </row>
    <row r="21" spans="1:26" ht="13.5" x14ac:dyDescent="0.3">
      <c r="A21" s="208" t="s">
        <v>269</v>
      </c>
      <c r="B21" s="305">
        <f>NPV(Z2,B17:Z17)</f>
        <v>118805.2429666938</v>
      </c>
      <c r="C21" s="130"/>
      <c r="D21" s="51"/>
    </row>
    <row r="22" spans="1:26" ht="13.5" x14ac:dyDescent="0.3">
      <c r="A22" s="359" t="s">
        <v>270</v>
      </c>
      <c r="B22" s="402">
        <f>IRR(B12:Z12)</f>
        <v>0.34300836842356985</v>
      </c>
    </row>
    <row r="23" spans="1:26" ht="13.5" x14ac:dyDescent="0.3">
      <c r="A23" s="359" t="s">
        <v>271</v>
      </c>
      <c r="B23" s="360">
        <f>NPV(Z2,B12:Z12)</f>
        <v>94574.668248008937</v>
      </c>
    </row>
    <row r="24" spans="1:26" x14ac:dyDescent="0.25">
      <c r="K24" s="51"/>
      <c r="L24" s="51"/>
    </row>
    <row r="25" spans="1:26" x14ac:dyDescent="0.25">
      <c r="H25" s="29" t="s">
        <v>272</v>
      </c>
      <c r="I25" s="29" t="s">
        <v>273</v>
      </c>
      <c r="J25" s="29" t="s">
        <v>274</v>
      </c>
    </row>
    <row r="26" spans="1:26" x14ac:dyDescent="0.25">
      <c r="C26" s="51"/>
      <c r="D26" s="51"/>
      <c r="E26" s="51"/>
      <c r="F26" s="51"/>
      <c r="G26" s="29">
        <v>0</v>
      </c>
      <c r="H26" s="29">
        <v>-68518.8</v>
      </c>
      <c r="I26" s="368">
        <f>1/(1+$Z$2)^G26</f>
        <v>1</v>
      </c>
      <c r="J26" s="361">
        <f>H26*I26</f>
        <v>-68518.8</v>
      </c>
    </row>
    <row r="27" spans="1:26" x14ac:dyDescent="0.25">
      <c r="G27" s="29">
        <v>1</v>
      </c>
      <c r="H27" s="29">
        <v>8897.3125</v>
      </c>
      <c r="I27" s="368">
        <f t="shared" ref="I27:I50" si="4">1/(1+$Z$2)^G27</f>
        <v>0.88495575221238942</v>
      </c>
      <c r="J27" s="361">
        <f t="shared" ref="J27:J50" si="5">H27*I27</f>
        <v>7873.7278761061953</v>
      </c>
    </row>
    <row r="28" spans="1:26" x14ac:dyDescent="0.25">
      <c r="G28" s="29">
        <v>2</v>
      </c>
      <c r="H28" s="29">
        <v>8897.3125</v>
      </c>
      <c r="I28" s="368">
        <f t="shared" si="4"/>
        <v>0.78314668337379612</v>
      </c>
      <c r="J28" s="361">
        <f t="shared" si="5"/>
        <v>6967.9007753152182</v>
      </c>
    </row>
    <row r="29" spans="1:26" x14ac:dyDescent="0.25">
      <c r="G29" s="29">
        <v>3</v>
      </c>
      <c r="H29" s="29">
        <v>8897.3125</v>
      </c>
      <c r="I29" s="368">
        <f t="shared" si="4"/>
        <v>0.69305016227769578</v>
      </c>
      <c r="J29" s="361">
        <f t="shared" si="5"/>
        <v>6166.2838719603715</v>
      </c>
    </row>
    <row r="30" spans="1:26" x14ac:dyDescent="0.25">
      <c r="G30" s="29">
        <v>4</v>
      </c>
      <c r="H30" s="29">
        <v>8897.3125</v>
      </c>
      <c r="I30" s="368">
        <f t="shared" si="4"/>
        <v>0.61331872767937679</v>
      </c>
      <c r="J30" s="361">
        <f t="shared" si="5"/>
        <v>5456.8883822658154</v>
      </c>
    </row>
    <row r="31" spans="1:26" x14ac:dyDescent="0.25">
      <c r="G31" s="29">
        <v>5</v>
      </c>
      <c r="H31" s="29">
        <v>8897.3125</v>
      </c>
      <c r="I31" s="368">
        <f t="shared" si="4"/>
        <v>0.54275993599944861</v>
      </c>
      <c r="J31" s="361">
        <f t="shared" si="5"/>
        <v>4829.1047630670937</v>
      </c>
    </row>
    <row r="32" spans="1:26" x14ac:dyDescent="0.25">
      <c r="G32" s="29">
        <v>6</v>
      </c>
      <c r="H32" s="29">
        <v>8897.3125</v>
      </c>
      <c r="I32" s="368">
        <f t="shared" si="4"/>
        <v>0.48031852743314046</v>
      </c>
      <c r="J32" s="361">
        <f t="shared" si="5"/>
        <v>4273.5440381124736</v>
      </c>
    </row>
    <row r="33" spans="7:10" x14ac:dyDescent="0.25">
      <c r="G33" s="29">
        <v>7</v>
      </c>
      <c r="H33" s="29">
        <v>5736.3125</v>
      </c>
      <c r="I33" s="368">
        <f t="shared" si="4"/>
        <v>0.425060643746142</v>
      </c>
      <c r="J33" s="361">
        <f t="shared" si="5"/>
        <v>2438.280683979041</v>
      </c>
    </row>
    <row r="34" spans="7:10" x14ac:dyDescent="0.25">
      <c r="G34" s="29">
        <v>8</v>
      </c>
      <c r="H34" s="29">
        <v>8897.3125</v>
      </c>
      <c r="I34" s="368">
        <f t="shared" si="4"/>
        <v>0.37615986172224958</v>
      </c>
      <c r="J34" s="361">
        <f t="shared" si="5"/>
        <v>3346.8118396996429</v>
      </c>
    </row>
    <row r="35" spans="7:10" x14ac:dyDescent="0.25">
      <c r="G35" s="29">
        <v>9</v>
      </c>
      <c r="H35" s="29">
        <v>8897.3125</v>
      </c>
      <c r="I35" s="368">
        <f t="shared" si="4"/>
        <v>0.33288483338252178</v>
      </c>
      <c r="J35" s="361">
        <f t="shared" si="5"/>
        <v>2961.7803891147282</v>
      </c>
    </row>
    <row r="36" spans="7:10" x14ac:dyDescent="0.25">
      <c r="G36" s="29">
        <v>10</v>
      </c>
      <c r="H36" s="29">
        <v>8897.3125</v>
      </c>
      <c r="I36" s="368">
        <f t="shared" si="4"/>
        <v>0.2945883481261255</v>
      </c>
      <c r="J36" s="361">
        <f t="shared" si="5"/>
        <v>2621.0445921369278</v>
      </c>
    </row>
    <row r="37" spans="7:10" x14ac:dyDescent="0.25">
      <c r="G37" s="29">
        <v>11</v>
      </c>
      <c r="H37" s="29">
        <v>8897.3125</v>
      </c>
      <c r="I37" s="368">
        <f t="shared" si="4"/>
        <v>0.26069765320896066</v>
      </c>
      <c r="J37" s="361">
        <f t="shared" si="5"/>
        <v>2319.5084886167506</v>
      </c>
    </row>
    <row r="38" spans="7:10" x14ac:dyDescent="0.25">
      <c r="G38" s="29">
        <v>12</v>
      </c>
      <c r="H38" s="29">
        <v>5736.3125</v>
      </c>
      <c r="I38" s="368">
        <f t="shared" si="4"/>
        <v>0.23070588779554044</v>
      </c>
      <c r="J38" s="361">
        <f t="shared" si="5"/>
        <v>1323.401067985156</v>
      </c>
    </row>
    <row r="39" spans="7:10" x14ac:dyDescent="0.25">
      <c r="G39" s="29">
        <v>13</v>
      </c>
      <c r="H39" s="29">
        <v>8897.3125</v>
      </c>
      <c r="I39" s="368">
        <f t="shared" si="4"/>
        <v>0.20416450247392959</v>
      </c>
      <c r="J39" s="361">
        <f t="shared" si="5"/>
        <v>1816.5153799175746</v>
      </c>
    </row>
    <row r="40" spans="7:10" x14ac:dyDescent="0.25">
      <c r="G40" s="29">
        <v>14</v>
      </c>
      <c r="H40" s="29">
        <v>8897.3125</v>
      </c>
      <c r="I40" s="368">
        <f t="shared" si="4"/>
        <v>0.18067655086188467</v>
      </c>
      <c r="J40" s="361">
        <f t="shared" si="5"/>
        <v>1607.5357344403321</v>
      </c>
    </row>
    <row r="41" spans="7:10" x14ac:dyDescent="0.25">
      <c r="G41" s="29">
        <v>15</v>
      </c>
      <c r="H41" s="29">
        <v>8897.3125</v>
      </c>
      <c r="I41" s="368">
        <f t="shared" si="4"/>
        <v>0.15989075297511918</v>
      </c>
      <c r="J41" s="361">
        <f t="shared" si="5"/>
        <v>1422.5979950799401</v>
      </c>
    </row>
    <row r="42" spans="7:10" x14ac:dyDescent="0.25">
      <c r="G42" s="29">
        <v>16</v>
      </c>
      <c r="H42" s="29">
        <v>8897.3125</v>
      </c>
      <c r="I42" s="368">
        <f t="shared" si="4"/>
        <v>0.14149624157090193</v>
      </c>
      <c r="J42" s="361">
        <f t="shared" si="5"/>
        <v>1258.9362788318053</v>
      </c>
    </row>
    <row r="43" spans="7:10" x14ac:dyDescent="0.25">
      <c r="G43" s="29">
        <v>17</v>
      </c>
      <c r="H43" s="29">
        <v>8897.3125</v>
      </c>
      <c r="I43" s="368">
        <f t="shared" si="4"/>
        <v>0.12521791289460349</v>
      </c>
      <c r="J43" s="361">
        <f t="shared" si="5"/>
        <v>1114.1029016210668</v>
      </c>
    </row>
    <row r="44" spans="7:10" x14ac:dyDescent="0.25">
      <c r="G44" s="29">
        <v>18</v>
      </c>
      <c r="H44" s="29">
        <v>8897.3125</v>
      </c>
      <c r="I44" s="368">
        <f t="shared" si="4"/>
        <v>0.1108123122961093</v>
      </c>
      <c r="J44" s="361">
        <f t="shared" si="5"/>
        <v>985.93177134607697</v>
      </c>
    </row>
    <row r="45" spans="7:10" x14ac:dyDescent="0.25">
      <c r="G45" s="29">
        <v>19</v>
      </c>
      <c r="H45" s="29">
        <v>5736.3125</v>
      </c>
      <c r="I45" s="368">
        <f t="shared" si="4"/>
        <v>9.8063993182397627E-2</v>
      </c>
      <c r="J45" s="361">
        <f t="shared" si="5"/>
        <v>562.52570989210233</v>
      </c>
    </row>
    <row r="46" spans="7:10" x14ac:dyDescent="0.25">
      <c r="G46" s="29">
        <v>20</v>
      </c>
      <c r="H46" s="29">
        <v>8897.3125</v>
      </c>
      <c r="I46" s="368">
        <f t="shared" si="4"/>
        <v>8.678229485167932E-2</v>
      </c>
      <c r="J46" s="361">
        <f t="shared" si="5"/>
        <v>772.12919676253205</v>
      </c>
    </row>
    <row r="47" spans="7:10" x14ac:dyDescent="0.25">
      <c r="G47" s="29">
        <v>21</v>
      </c>
      <c r="H47" s="29">
        <v>8897.3125</v>
      </c>
      <c r="I47" s="368">
        <f t="shared" si="4"/>
        <v>7.6798491019185247E-2</v>
      </c>
      <c r="J47" s="361">
        <f t="shared" si="5"/>
        <v>683.30017412613461</v>
      </c>
    </row>
    <row r="48" spans="7:10" x14ac:dyDescent="0.25">
      <c r="G48" s="29">
        <v>22</v>
      </c>
      <c r="H48" s="29">
        <v>8897.3125</v>
      </c>
      <c r="I48" s="368">
        <f t="shared" si="4"/>
        <v>6.796326638865953E-2</v>
      </c>
      <c r="J48" s="361">
        <f t="shared" si="5"/>
        <v>604.69041958065031</v>
      </c>
    </row>
    <row r="49" spans="7:10" x14ac:dyDescent="0.25">
      <c r="G49" s="29">
        <v>23</v>
      </c>
      <c r="H49" s="29">
        <v>8897.3125</v>
      </c>
      <c r="I49" s="368">
        <f t="shared" si="4"/>
        <v>6.0144483529787192E-2</v>
      </c>
      <c r="J49" s="361">
        <f t="shared" si="5"/>
        <v>535.12426511561966</v>
      </c>
    </row>
    <row r="50" spans="7:10" x14ac:dyDescent="0.25">
      <c r="G50" s="29">
        <v>24</v>
      </c>
      <c r="H50" s="29">
        <v>5736.3125</v>
      </c>
      <c r="I50" s="368">
        <f t="shared" si="4"/>
        <v>5.3225206663528493E-2</v>
      </c>
      <c r="J50" s="361">
        <f t="shared" si="5"/>
        <v>305.31641829908182</v>
      </c>
    </row>
    <row r="51" spans="7:10" x14ac:dyDescent="0.25">
      <c r="J51" s="361">
        <f>SUM(J26:J50)</f>
        <v>-6271.8169866276658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pane xSplit="1" ySplit="3" topLeftCell="B17" activePane="bottomRight" state="frozenSplit"/>
      <selection pane="topRight" activeCell="B1" sqref="B1"/>
      <selection pane="bottomLeft" activeCell="A3" sqref="A3"/>
      <selection pane="bottomRight" sqref="A1:F1"/>
    </sheetView>
  </sheetViews>
  <sheetFormatPr baseColWidth="10" defaultColWidth="11.42578125" defaultRowHeight="13.5" x14ac:dyDescent="0.25"/>
  <cols>
    <col min="1" max="4" width="11.42578125" style="28"/>
    <col min="5" max="5" width="14" style="28" customWidth="1"/>
    <col min="6" max="6" width="15.42578125" style="28" customWidth="1"/>
    <col min="7" max="16384" width="11.42578125" style="28"/>
  </cols>
  <sheetData>
    <row r="1" spans="1:6" ht="15" x14ac:dyDescent="0.3">
      <c r="A1" s="413" t="s">
        <v>275</v>
      </c>
      <c r="B1" s="413"/>
      <c r="C1" s="413"/>
      <c r="D1" s="413"/>
      <c r="E1" s="413"/>
      <c r="F1" s="413"/>
    </row>
    <row r="2" spans="1:6" ht="14.25" x14ac:dyDescent="0.3">
      <c r="A2" s="2"/>
      <c r="B2" s="2"/>
      <c r="C2" s="29"/>
      <c r="D2" s="29"/>
      <c r="E2" s="29"/>
      <c r="F2" s="29"/>
    </row>
    <row r="3" spans="1:6" ht="38.25" x14ac:dyDescent="0.25">
      <c r="A3" s="235" t="s">
        <v>276</v>
      </c>
      <c r="B3" s="235" t="s">
        <v>255</v>
      </c>
      <c r="C3" s="235" t="s">
        <v>256</v>
      </c>
      <c r="D3" s="235">
        <v>0.13</v>
      </c>
      <c r="E3" s="235" t="s">
        <v>277</v>
      </c>
      <c r="F3" s="235" t="s">
        <v>278</v>
      </c>
    </row>
    <row r="4" spans="1:6" x14ac:dyDescent="0.25">
      <c r="A4" s="70">
        <v>0</v>
      </c>
      <c r="B4" s="113"/>
      <c r="C4" s="113">
        <f>'FLUJO DE CAJA ECON FINANCI'!B6</f>
        <v>71421.600000000006</v>
      </c>
      <c r="D4" s="71">
        <f>1/(1+$D$3)^A4</f>
        <v>1</v>
      </c>
      <c r="E4" s="113">
        <f>B4*D4</f>
        <v>0</v>
      </c>
      <c r="F4" s="113">
        <f>C4*D4</f>
        <v>71421.600000000006</v>
      </c>
    </row>
    <row r="5" spans="1:6" x14ac:dyDescent="0.25">
      <c r="A5" s="70">
        <v>1</v>
      </c>
      <c r="B5" s="113">
        <f>'FLUJO DE CAJA ECON FINANCI'!C4</f>
        <v>66920</v>
      </c>
      <c r="C5" s="113">
        <f>'FLUJO DE CAJA ECON FINANCI'!C6</f>
        <v>39269.738333333335</v>
      </c>
      <c r="D5" s="71">
        <f>1/(1+$D$3)^A5</f>
        <v>0.88495575221238942</v>
      </c>
      <c r="E5" s="113">
        <f t="shared" ref="E5:E28" si="0">B5*D5</f>
        <v>59221.238938053102</v>
      </c>
      <c r="F5" s="113">
        <f t="shared" ref="F5:F28" si="1">C5*D5</f>
        <v>34751.980825958708</v>
      </c>
    </row>
    <row r="6" spans="1:6" x14ac:dyDescent="0.25">
      <c r="A6" s="70">
        <v>2</v>
      </c>
      <c r="B6" s="113">
        <f>'FLUJO DE CAJA ECON FINANCI'!D4</f>
        <v>66920</v>
      </c>
      <c r="C6" s="113">
        <f>'FLUJO DE CAJA ECON FINANCI'!D6</f>
        <v>39269.738333333335</v>
      </c>
      <c r="D6" s="71">
        <f>1/(1+$D$3)^A6</f>
        <v>0.78314668337379612</v>
      </c>
      <c r="E6" s="113">
        <f t="shared" si="0"/>
        <v>52408.176051374438</v>
      </c>
      <c r="F6" s="113">
        <f t="shared" si="1"/>
        <v>30753.965332706826</v>
      </c>
    </row>
    <row r="7" spans="1:6" x14ac:dyDescent="0.25">
      <c r="A7" s="70">
        <v>3</v>
      </c>
      <c r="B7" s="113">
        <f>'FLUJO DE CAJA ECON FINANCI'!E4</f>
        <v>66920</v>
      </c>
      <c r="C7" s="113">
        <f>'FLUJO DE CAJA ECON FINANCI'!E6</f>
        <v>39269.738333333335</v>
      </c>
      <c r="D7" s="71">
        <f t="shared" ref="D7:D28" si="2">1/(1+$D$3)^A7</f>
        <v>0.69305016227769578</v>
      </c>
      <c r="E7" s="113">
        <f t="shared" si="0"/>
        <v>46378.916859623401</v>
      </c>
      <c r="F7" s="113">
        <f t="shared" si="1"/>
        <v>27215.898524519318</v>
      </c>
    </row>
    <row r="8" spans="1:6" x14ac:dyDescent="0.25">
      <c r="A8" s="70">
        <v>4</v>
      </c>
      <c r="B8" s="113">
        <f>'FLUJO DE CAJA ECON FINANCI'!F4</f>
        <v>33460</v>
      </c>
      <c r="C8" s="113">
        <f>'FLUJO DE CAJA ECON FINANCI'!F6</f>
        <v>23215.938333333335</v>
      </c>
      <c r="D8" s="71">
        <f t="shared" si="2"/>
        <v>0.61331872767937679</v>
      </c>
      <c r="E8" s="113">
        <f t="shared" si="0"/>
        <v>20521.644628151946</v>
      </c>
      <c r="F8" s="113">
        <f t="shared" si="1"/>
        <v>14238.769760482872</v>
      </c>
    </row>
    <row r="9" spans="1:6" x14ac:dyDescent="0.25">
      <c r="A9" s="70">
        <v>5</v>
      </c>
      <c r="B9" s="113">
        <f>'FLUJO DE CAJA ECON FINANCI'!G4</f>
        <v>66920</v>
      </c>
      <c r="C9" s="113">
        <f>'FLUJO DE CAJA ECON FINANCI'!G6</f>
        <v>39269.738333333335</v>
      </c>
      <c r="D9" s="71">
        <f t="shared" si="2"/>
        <v>0.54275993599944861</v>
      </c>
      <c r="E9" s="113">
        <f t="shared" si="0"/>
        <v>36321.494917083102</v>
      </c>
      <c r="F9" s="113">
        <f t="shared" si="1"/>
        <v>21314.040664515094</v>
      </c>
    </row>
    <row r="10" spans="1:6" x14ac:dyDescent="0.25">
      <c r="A10" s="70">
        <v>6</v>
      </c>
      <c r="B10" s="113">
        <f>'FLUJO DE CAJA ECON FINANCI'!H4</f>
        <v>33460</v>
      </c>
      <c r="C10" s="113">
        <f>'FLUJO DE CAJA ECON FINANCI'!H6</f>
        <v>23215.938333333335</v>
      </c>
      <c r="D10" s="71">
        <f t="shared" si="2"/>
        <v>0.48031852743314046</v>
      </c>
      <c r="E10" s="113">
        <f t="shared" si="0"/>
        <v>16071.457927912879</v>
      </c>
      <c r="F10" s="113">
        <f t="shared" si="1"/>
        <v>11151.045313245266</v>
      </c>
    </row>
    <row r="11" spans="1:6" x14ac:dyDescent="0.25">
      <c r="A11" s="70">
        <v>7</v>
      </c>
      <c r="B11" s="113">
        <f>'FLUJO DE CAJA ECON FINANCI'!I4</f>
        <v>66920</v>
      </c>
      <c r="C11" s="113">
        <f>'FLUJO DE CAJA ECON FINANCI'!I6</f>
        <v>44283.738333333335</v>
      </c>
      <c r="D11" s="71">
        <f t="shared" si="2"/>
        <v>0.425060643746142</v>
      </c>
      <c r="E11" s="113">
        <f t="shared" si="0"/>
        <v>28445.058279491823</v>
      </c>
      <c r="F11" s="113">
        <f t="shared" si="1"/>
        <v>18823.274323452373</v>
      </c>
    </row>
    <row r="12" spans="1:6" x14ac:dyDescent="0.25">
      <c r="A12" s="70">
        <v>8</v>
      </c>
      <c r="B12" s="113">
        <f>'FLUJO DE CAJA ECON FINANCI'!J4</f>
        <v>66920</v>
      </c>
      <c r="C12" s="113">
        <f>'FLUJO DE CAJA ECON FINANCI'!J6</f>
        <v>39269.738333333335</v>
      </c>
      <c r="D12" s="71">
        <f t="shared" si="2"/>
        <v>0.37615986172224958</v>
      </c>
      <c r="E12" s="113">
        <f t="shared" si="0"/>
        <v>25172.617946452941</v>
      </c>
      <c r="F12" s="113">
        <f t="shared" si="1"/>
        <v>14771.69934133559</v>
      </c>
    </row>
    <row r="13" spans="1:6" x14ac:dyDescent="0.25">
      <c r="A13" s="70">
        <v>9</v>
      </c>
      <c r="B13" s="113">
        <f>'FLUJO DE CAJA ECON FINANCI'!K4</f>
        <v>66920</v>
      </c>
      <c r="C13" s="113">
        <f>'FLUJO DE CAJA ECON FINANCI'!K6</f>
        <v>39269.738333333335</v>
      </c>
      <c r="D13" s="71">
        <f t="shared" si="2"/>
        <v>0.33288483338252178</v>
      </c>
      <c r="E13" s="113">
        <f t="shared" si="0"/>
        <v>22276.653049958357</v>
      </c>
      <c r="F13" s="113">
        <f t="shared" si="1"/>
        <v>13072.300302066897</v>
      </c>
    </row>
    <row r="14" spans="1:6" x14ac:dyDescent="0.25">
      <c r="A14" s="70">
        <v>10</v>
      </c>
      <c r="B14" s="113">
        <f>'FLUJO DE CAJA ECON FINANCI'!L4</f>
        <v>66920</v>
      </c>
      <c r="C14" s="113">
        <f>'FLUJO DE CAJA ECON FINANCI'!L6</f>
        <v>39269.738333333335</v>
      </c>
      <c r="D14" s="71">
        <f t="shared" si="2"/>
        <v>0.2945883481261255</v>
      </c>
      <c r="E14" s="113">
        <f t="shared" si="0"/>
        <v>19713.852256600319</v>
      </c>
      <c r="F14" s="113">
        <f t="shared" si="1"/>
        <v>11568.407346961856</v>
      </c>
    </row>
    <row r="15" spans="1:6" x14ac:dyDescent="0.25">
      <c r="A15" s="70">
        <v>11</v>
      </c>
      <c r="B15" s="113">
        <f>'FLUJO DE CAJA ECON FINANCI'!M4</f>
        <v>66920</v>
      </c>
      <c r="C15" s="113">
        <f>'FLUJO DE CAJA ECON FINANCI'!M6</f>
        <v>39269.738333333335</v>
      </c>
      <c r="D15" s="71">
        <f t="shared" si="2"/>
        <v>0.26069765320896066</v>
      </c>
      <c r="E15" s="113">
        <f t="shared" si="0"/>
        <v>17445.886952743647</v>
      </c>
      <c r="F15" s="113">
        <f t="shared" si="1"/>
        <v>10237.528625629962</v>
      </c>
    </row>
    <row r="16" spans="1:6" x14ac:dyDescent="0.25">
      <c r="A16" s="70">
        <v>12</v>
      </c>
      <c r="B16" s="113">
        <f>'FLUJO DE CAJA ECON FINANCI'!N4</f>
        <v>66920</v>
      </c>
      <c r="C16" s="113">
        <f>'FLUJO DE CAJA ECON FINANCI'!N6</f>
        <v>44283.738333333335</v>
      </c>
      <c r="D16" s="71">
        <f t="shared" si="2"/>
        <v>0.23070588779554044</v>
      </c>
      <c r="E16" s="113">
        <f t="shared" si="0"/>
        <v>15438.838011277567</v>
      </c>
      <c r="F16" s="113">
        <f t="shared" si="1"/>
        <v>10216.519167097073</v>
      </c>
    </row>
    <row r="17" spans="1:7" x14ac:dyDescent="0.25">
      <c r="A17" s="70">
        <v>13</v>
      </c>
      <c r="B17" s="113">
        <f>'FLUJO DE CAJA ECON FINANCI'!O4</f>
        <v>66920</v>
      </c>
      <c r="C17" s="113">
        <f>'FLUJO DE CAJA ECON FINANCI'!O6</f>
        <v>39269.738333333335</v>
      </c>
      <c r="D17" s="71">
        <f t="shared" si="2"/>
        <v>0.20416450247392959</v>
      </c>
      <c r="E17" s="113">
        <f t="shared" si="0"/>
        <v>13662.688505555368</v>
      </c>
      <c r="F17" s="113">
        <f t="shared" si="1"/>
        <v>8017.486589106401</v>
      </c>
    </row>
    <row r="18" spans="1:7" x14ac:dyDescent="0.25">
      <c r="A18" s="70">
        <v>14</v>
      </c>
      <c r="B18" s="113">
        <f>'FLUJO DE CAJA ECON FINANCI'!P4</f>
        <v>66920</v>
      </c>
      <c r="C18" s="113">
        <f>'FLUJO DE CAJA ECON FINANCI'!P6</f>
        <v>39269.738333333335</v>
      </c>
      <c r="D18" s="71">
        <f t="shared" si="2"/>
        <v>0.18067655086188467</v>
      </c>
      <c r="E18" s="113">
        <f t="shared" si="0"/>
        <v>12090.874783677322</v>
      </c>
      <c r="F18" s="113">
        <f t="shared" si="1"/>
        <v>7095.1208753154024</v>
      </c>
    </row>
    <row r="19" spans="1:7" x14ac:dyDescent="0.25">
      <c r="A19" s="70">
        <v>15</v>
      </c>
      <c r="B19" s="113">
        <f>'FLUJO DE CAJA ECON FINANCI'!Q4</f>
        <v>66920</v>
      </c>
      <c r="C19" s="113">
        <f>'FLUJO DE CAJA ECON FINANCI'!Q6</f>
        <v>39269.738333333335</v>
      </c>
      <c r="D19" s="71">
        <f t="shared" si="2"/>
        <v>0.15989075297511918</v>
      </c>
      <c r="E19" s="113">
        <f t="shared" si="0"/>
        <v>10699.889189094974</v>
      </c>
      <c r="F19" s="113">
        <f t="shared" si="1"/>
        <v>6278.8680312525685</v>
      </c>
    </row>
    <row r="20" spans="1:7" x14ac:dyDescent="0.25">
      <c r="A20" s="70">
        <v>16</v>
      </c>
      <c r="B20" s="113">
        <f>'FLUJO DE CAJA ECON FINANCI'!R4</f>
        <v>66920</v>
      </c>
      <c r="C20" s="113">
        <f>'FLUJO DE CAJA ECON FINANCI'!R6</f>
        <v>39269.738333333335</v>
      </c>
      <c r="D20" s="71">
        <f t="shared" si="2"/>
        <v>0.14149624157090193</v>
      </c>
      <c r="E20" s="113">
        <f t="shared" si="0"/>
        <v>9468.9284859247564</v>
      </c>
      <c r="F20" s="113">
        <f t="shared" si="1"/>
        <v>5556.5203816394414</v>
      </c>
    </row>
    <row r="21" spans="1:7" x14ac:dyDescent="0.25">
      <c r="A21" s="70">
        <v>17</v>
      </c>
      <c r="B21" s="113">
        <f>'FLUJO DE CAJA ECON FINANCI'!S4</f>
        <v>66920</v>
      </c>
      <c r="C21" s="113">
        <f>'FLUJO DE CAJA ECON FINANCI'!S6</f>
        <v>39269.738333333335</v>
      </c>
      <c r="D21" s="71">
        <f t="shared" si="2"/>
        <v>0.12521791289460349</v>
      </c>
      <c r="E21" s="113">
        <f t="shared" si="0"/>
        <v>8379.5827309068663</v>
      </c>
      <c r="F21" s="113">
        <f t="shared" si="1"/>
        <v>4917.2746740172051</v>
      </c>
    </row>
    <row r="22" spans="1:7" x14ac:dyDescent="0.25">
      <c r="A22" s="70">
        <v>18</v>
      </c>
      <c r="B22" s="113">
        <f>'FLUJO DE CAJA ECON FINANCI'!T4</f>
        <v>66920</v>
      </c>
      <c r="C22" s="113">
        <f>'FLUJO DE CAJA ECON FINANCI'!T6</f>
        <v>39269.738333333335</v>
      </c>
      <c r="D22" s="71">
        <f t="shared" si="2"/>
        <v>0.1108123122961093</v>
      </c>
      <c r="E22" s="113">
        <f t="shared" si="0"/>
        <v>7415.5599388556348</v>
      </c>
      <c r="F22" s="113">
        <f t="shared" si="1"/>
        <v>4351.5705079798281</v>
      </c>
    </row>
    <row r="23" spans="1:7" x14ac:dyDescent="0.25">
      <c r="A23" s="70">
        <v>19</v>
      </c>
      <c r="B23" s="113">
        <f>'FLUJO DE CAJA ECON FINANCI'!U4</f>
        <v>66920</v>
      </c>
      <c r="C23" s="113">
        <f>'FLUJO DE CAJA ECON FINANCI'!U6</f>
        <v>44283.738333333335</v>
      </c>
      <c r="D23" s="71">
        <f t="shared" si="2"/>
        <v>9.8063993182397627E-2</v>
      </c>
      <c r="E23" s="113">
        <f t="shared" si="0"/>
        <v>6562.4424237660496</v>
      </c>
      <c r="F23" s="113">
        <f t="shared" si="1"/>
        <v>4342.6402140110804</v>
      </c>
    </row>
    <row r="24" spans="1:7" x14ac:dyDescent="0.25">
      <c r="A24" s="70">
        <v>20</v>
      </c>
      <c r="B24" s="113">
        <f>'FLUJO DE CAJA ECON FINANCI'!V4</f>
        <v>66920</v>
      </c>
      <c r="C24" s="113">
        <f>'FLUJO DE CAJA ECON FINANCI'!V6</f>
        <v>39269.738333333335</v>
      </c>
      <c r="D24" s="71">
        <f t="shared" si="2"/>
        <v>8.678229485167932E-2</v>
      </c>
      <c r="E24" s="113">
        <f t="shared" si="0"/>
        <v>5807.4711714743798</v>
      </c>
      <c r="F24" s="113">
        <f t="shared" si="1"/>
        <v>3407.9180107916277</v>
      </c>
    </row>
    <row r="25" spans="1:7" x14ac:dyDescent="0.25">
      <c r="A25" s="70">
        <v>21</v>
      </c>
      <c r="B25" s="113">
        <f>'FLUJO DE CAJA ECON FINANCI'!W4</f>
        <v>66920</v>
      </c>
      <c r="C25" s="113">
        <f>'FLUJO DE CAJA ECON FINANCI'!W6</f>
        <v>39269.738333333335</v>
      </c>
      <c r="D25" s="71">
        <f t="shared" si="2"/>
        <v>7.6798491019185247E-2</v>
      </c>
      <c r="E25" s="113">
        <f t="shared" si="0"/>
        <v>5139.3550190038768</v>
      </c>
      <c r="F25" s="113">
        <f t="shared" si="1"/>
        <v>3015.8566467182545</v>
      </c>
    </row>
    <row r="26" spans="1:7" x14ac:dyDescent="0.25">
      <c r="A26" s="70">
        <v>22</v>
      </c>
      <c r="B26" s="113">
        <f>'FLUJO DE CAJA ECON FINANCI'!X4</f>
        <v>66920</v>
      </c>
      <c r="C26" s="113">
        <f>'FLUJO DE CAJA ECON FINANCI'!X6</f>
        <v>39269.738333333335</v>
      </c>
      <c r="D26" s="71">
        <f t="shared" si="2"/>
        <v>6.796326638865953E-2</v>
      </c>
      <c r="E26" s="113">
        <f t="shared" si="0"/>
        <v>4548.1017867290957</v>
      </c>
      <c r="F26" s="113">
        <f t="shared" si="1"/>
        <v>2668.8996873612882</v>
      </c>
    </row>
    <row r="27" spans="1:7" x14ac:dyDescent="0.25">
      <c r="A27" s="70">
        <v>23</v>
      </c>
      <c r="B27" s="113">
        <f>'FLUJO DE CAJA ECON FINANCI'!Y4</f>
        <v>66920</v>
      </c>
      <c r="C27" s="113">
        <f>'FLUJO DE CAJA ECON FINANCI'!Y6</f>
        <v>39269.738333333335</v>
      </c>
      <c r="D27" s="71">
        <f t="shared" si="2"/>
        <v>6.0144483529787192E-2</v>
      </c>
      <c r="E27" s="113">
        <f t="shared" si="0"/>
        <v>4024.8688378133588</v>
      </c>
      <c r="F27" s="113">
        <f t="shared" si="1"/>
        <v>2361.8581304082195</v>
      </c>
    </row>
    <row r="28" spans="1:7" x14ac:dyDescent="0.25">
      <c r="A28" s="70">
        <v>24</v>
      </c>
      <c r="B28" s="113">
        <f>'FLUJO DE CAJA ECON FINANCI'!Z4</f>
        <v>66920</v>
      </c>
      <c r="C28" s="113">
        <f>'FLUJO DE CAJA ECON FINANCI'!Z6</f>
        <v>44283.738333333335</v>
      </c>
      <c r="D28" s="71">
        <f t="shared" si="2"/>
        <v>5.3225206663528493E-2</v>
      </c>
      <c r="E28" s="113">
        <f t="shared" si="0"/>
        <v>3561.8308299233267</v>
      </c>
      <c r="F28" s="113">
        <f t="shared" si="1"/>
        <v>2357.0111246252854</v>
      </c>
    </row>
    <row r="29" spans="1:7" ht="14.25" x14ac:dyDescent="0.3">
      <c r="A29" s="72"/>
      <c r="B29" s="72"/>
      <c r="C29" s="72"/>
      <c r="D29" s="72"/>
      <c r="E29" s="237">
        <f>SUM(E4:E28)</f>
        <v>450777.42952144856</v>
      </c>
      <c r="F29" s="237">
        <f>SUM(F4:F28)</f>
        <v>343908.05440119846</v>
      </c>
    </row>
    <row r="30" spans="1:7" ht="14.25" x14ac:dyDescent="0.3">
      <c r="A30" s="29"/>
      <c r="B30" s="29"/>
      <c r="C30" s="29"/>
      <c r="D30" s="29"/>
      <c r="E30" s="393" t="s">
        <v>279</v>
      </c>
      <c r="F30" s="236">
        <f>E29/F29</f>
        <v>1.3107498465144343</v>
      </c>
      <c r="G30" s="28" t="s">
        <v>280</v>
      </c>
    </row>
    <row r="31" spans="1:7" x14ac:dyDescent="0.25">
      <c r="G31" s="28" t="s">
        <v>281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6"/>
  <sheetViews>
    <sheetView workbookViewId="0">
      <selection activeCell="D50" sqref="D50"/>
    </sheetView>
  </sheetViews>
  <sheetFormatPr baseColWidth="10" defaultColWidth="9.140625" defaultRowHeight="15" x14ac:dyDescent="0.25"/>
  <cols>
    <col min="1" max="1" width="4.7109375" customWidth="1"/>
    <col min="2" max="2" width="46.5703125" customWidth="1"/>
    <col min="3" max="3" width="17.42578125" bestFit="1" customWidth="1"/>
    <col min="4" max="4" width="11.42578125" customWidth="1"/>
    <col min="5" max="5" width="13.7109375" bestFit="1" customWidth="1"/>
    <col min="6" max="6" width="11.42578125" customWidth="1"/>
    <col min="7" max="7" width="28.140625" customWidth="1"/>
    <col min="8" max="8" width="23.7109375" customWidth="1"/>
    <col min="9" max="256" width="11.42578125" customWidth="1"/>
  </cols>
  <sheetData>
    <row r="3" spans="2:9" ht="21" x14ac:dyDescent="0.35">
      <c r="B3" s="382" t="s">
        <v>282</v>
      </c>
    </row>
    <row r="6" spans="2:9" ht="18.75" x14ac:dyDescent="0.3">
      <c r="B6" s="383" t="str">
        <f>'INGRESO POR VENTAS'!A4</f>
        <v>CHANCHO A LA PARRILLA</v>
      </c>
      <c r="C6" s="383" t="s">
        <v>283</v>
      </c>
      <c r="D6" s="383">
        <f>SUM(D8:D15)</f>
        <v>9.75</v>
      </c>
      <c r="G6" s="383" t="str">
        <f>'INGRESO POR VENTAS'!A9</f>
        <v>POLLO A LA PARRILLA</v>
      </c>
      <c r="H6" s="383" t="s">
        <v>283</v>
      </c>
      <c r="I6" s="383">
        <f>SUM(I8:I15)</f>
        <v>7.95</v>
      </c>
    </row>
    <row r="7" spans="2:9" x14ac:dyDescent="0.25">
      <c r="B7" s="307"/>
      <c r="C7" s="307"/>
      <c r="D7" s="307"/>
      <c r="G7" s="307"/>
      <c r="H7" s="307"/>
      <c r="I7" s="307"/>
    </row>
    <row r="8" spans="2:9" x14ac:dyDescent="0.25">
      <c r="B8" s="385" t="s">
        <v>284</v>
      </c>
      <c r="C8" s="384" t="s">
        <v>285</v>
      </c>
      <c r="D8" s="384">
        <v>5.6</v>
      </c>
      <c r="G8" s="385" t="s">
        <v>286</v>
      </c>
      <c r="H8" s="384" t="s">
        <v>287</v>
      </c>
      <c r="I8" s="384">
        <v>3.8</v>
      </c>
    </row>
    <row r="9" spans="2:9" x14ac:dyDescent="0.25">
      <c r="B9" s="385" t="s">
        <v>288</v>
      </c>
      <c r="C9" s="384" t="s">
        <v>289</v>
      </c>
      <c r="D9" s="384">
        <v>0.4</v>
      </c>
      <c r="G9" s="385" t="s">
        <v>288</v>
      </c>
      <c r="H9" s="384" t="s">
        <v>289</v>
      </c>
      <c r="I9" s="384">
        <v>0.4</v>
      </c>
    </row>
    <row r="10" spans="2:9" x14ac:dyDescent="0.25">
      <c r="B10" s="385" t="s">
        <v>290</v>
      </c>
      <c r="C10" s="384" t="s">
        <v>291</v>
      </c>
      <c r="D10" s="384">
        <v>1</v>
      </c>
      <c r="G10" s="385" t="s">
        <v>290</v>
      </c>
      <c r="H10" s="384" t="s">
        <v>291</v>
      </c>
      <c r="I10" s="384">
        <v>1</v>
      </c>
    </row>
    <row r="11" spans="2:9" x14ac:dyDescent="0.25">
      <c r="B11" s="385" t="s">
        <v>292</v>
      </c>
      <c r="C11" s="384"/>
      <c r="D11" s="384">
        <v>0.25</v>
      </c>
      <c r="G11" s="385" t="s">
        <v>292</v>
      </c>
      <c r="H11" s="384"/>
      <c r="I11" s="384">
        <v>0.25</v>
      </c>
    </row>
    <row r="12" spans="2:9" x14ac:dyDescent="0.25">
      <c r="B12" s="385" t="s">
        <v>293</v>
      </c>
      <c r="C12" s="384"/>
      <c r="D12" s="384">
        <v>0.25</v>
      </c>
      <c r="G12" s="385" t="s">
        <v>293</v>
      </c>
      <c r="H12" s="384"/>
      <c r="I12" s="384">
        <v>0.25</v>
      </c>
    </row>
    <row r="13" spans="2:9" x14ac:dyDescent="0.25">
      <c r="B13" s="384" t="s">
        <v>294</v>
      </c>
      <c r="C13" s="384"/>
      <c r="D13" s="384">
        <v>0.75</v>
      </c>
      <c r="G13" s="384" t="s">
        <v>294</v>
      </c>
      <c r="H13" s="384"/>
      <c r="I13" s="384">
        <v>0.75</v>
      </c>
    </row>
    <row r="14" spans="2:9" x14ac:dyDescent="0.25">
      <c r="B14" s="385" t="s">
        <v>295</v>
      </c>
      <c r="C14" s="384"/>
      <c r="D14" s="384">
        <v>0.5</v>
      </c>
      <c r="G14" s="385" t="s">
        <v>295</v>
      </c>
      <c r="H14" s="384"/>
      <c r="I14" s="384">
        <v>0.5</v>
      </c>
    </row>
    <row r="15" spans="2:9" x14ac:dyDescent="0.25">
      <c r="B15" s="384" t="s">
        <v>296</v>
      </c>
      <c r="C15" s="384" t="s">
        <v>297</v>
      </c>
      <c r="D15" s="384">
        <v>1</v>
      </c>
      <c r="G15" s="384" t="s">
        <v>296</v>
      </c>
      <c r="H15" s="384" t="s">
        <v>297</v>
      </c>
      <c r="I15" s="384">
        <v>1</v>
      </c>
    </row>
    <row r="18" spans="2:8" ht="18.75" x14ac:dyDescent="0.3">
      <c r="B18" s="383" t="str">
        <f>'INGRESO POR VENTAS'!A5</f>
        <v>CORDERO  A  LA PARRILLA</v>
      </c>
      <c r="C18" s="383" t="s">
        <v>283</v>
      </c>
      <c r="D18" s="383">
        <f>SUM(D20:D27)</f>
        <v>10.55</v>
      </c>
      <c r="G18" s="383" t="s">
        <v>298</v>
      </c>
      <c r="H18" s="389">
        <f>SUM(H19:H21)</f>
        <v>1.5213978025963395</v>
      </c>
    </row>
    <row r="19" spans="2:8" x14ac:dyDescent="0.25">
      <c r="B19" s="307"/>
      <c r="C19" s="307"/>
      <c r="D19" s="307"/>
      <c r="G19" s="307" t="s">
        <v>299</v>
      </c>
      <c r="H19" s="390">
        <f>'PLANILLA DE EMPLEADOS'!J21/'INGRESO POR VENTAS'!B15</f>
        <v>0.8091894060995185</v>
      </c>
    </row>
    <row r="20" spans="2:8" x14ac:dyDescent="0.25">
      <c r="B20" s="385" t="s">
        <v>300</v>
      </c>
      <c r="C20" s="384" t="s">
        <v>285</v>
      </c>
      <c r="D20" s="384">
        <v>6.4</v>
      </c>
      <c r="G20" s="307" t="s">
        <v>77</v>
      </c>
      <c r="H20" s="390">
        <f>'AMORTIZACION DE CREDITO'!C10/'INGRESO POR VENTAS'!B15</f>
        <v>0.56774611720308099</v>
      </c>
    </row>
    <row r="21" spans="2:8" x14ac:dyDescent="0.25">
      <c r="B21" s="385" t="s">
        <v>288</v>
      </c>
      <c r="C21" s="384" t="s">
        <v>289</v>
      </c>
      <c r="D21" s="384">
        <v>0.4</v>
      </c>
      <c r="G21" s="307" t="s">
        <v>144</v>
      </c>
      <c r="H21" s="390">
        <f>'GASTOS INDIRECTOS'!E14/'INGRESO POR VENTAS'!B15</f>
        <v>0.14446227929373998</v>
      </c>
    </row>
    <row r="22" spans="2:8" x14ac:dyDescent="0.25">
      <c r="B22" s="385" t="s">
        <v>290</v>
      </c>
      <c r="C22" s="384" t="s">
        <v>291</v>
      </c>
      <c r="D22" s="384">
        <v>1</v>
      </c>
    </row>
    <row r="23" spans="2:8" x14ac:dyDescent="0.25">
      <c r="B23" s="385" t="s">
        <v>292</v>
      </c>
      <c r="C23" s="384"/>
      <c r="D23" s="384">
        <v>0.25</v>
      </c>
    </row>
    <row r="24" spans="2:8" x14ac:dyDescent="0.25">
      <c r="B24" s="385" t="s">
        <v>293</v>
      </c>
      <c r="C24" s="384"/>
      <c r="D24" s="384">
        <v>0.25</v>
      </c>
    </row>
    <row r="25" spans="2:8" x14ac:dyDescent="0.25">
      <c r="B25" s="384" t="s">
        <v>294</v>
      </c>
      <c r="C25" s="384"/>
      <c r="D25" s="384">
        <v>0.75</v>
      </c>
    </row>
    <row r="26" spans="2:8" x14ac:dyDescent="0.25">
      <c r="B26" s="385" t="s">
        <v>295</v>
      </c>
      <c r="C26" s="384"/>
      <c r="D26" s="384">
        <v>0.5</v>
      </c>
    </row>
    <row r="27" spans="2:8" x14ac:dyDescent="0.25">
      <c r="B27" s="384" t="s">
        <v>296</v>
      </c>
      <c r="C27" s="384" t="s">
        <v>297</v>
      </c>
      <c r="D27" s="384">
        <v>1</v>
      </c>
    </row>
    <row r="30" spans="2:8" ht="18.75" x14ac:dyDescent="0.3">
      <c r="B30" s="383" t="str">
        <f>'INGRESO POR VENTAS'!A6</f>
        <v>RES A LA PARRILLA</v>
      </c>
      <c r="C30" s="383" t="s">
        <v>283</v>
      </c>
      <c r="D30" s="383">
        <f>SUM(D32:D39)</f>
        <v>9.3500000000000014</v>
      </c>
    </row>
    <row r="31" spans="2:8" x14ac:dyDescent="0.25">
      <c r="B31" s="307"/>
      <c r="C31" s="307"/>
      <c r="D31" s="307"/>
    </row>
    <row r="32" spans="2:8" x14ac:dyDescent="0.25">
      <c r="B32" s="385" t="s">
        <v>301</v>
      </c>
      <c r="C32" s="384" t="s">
        <v>285</v>
      </c>
      <c r="D32" s="384">
        <v>5.2</v>
      </c>
    </row>
    <row r="33" spans="2:4" x14ac:dyDescent="0.25">
      <c r="B33" s="385" t="s">
        <v>288</v>
      </c>
      <c r="C33" s="384" t="s">
        <v>289</v>
      </c>
      <c r="D33" s="384">
        <v>0.4</v>
      </c>
    </row>
    <row r="34" spans="2:4" x14ac:dyDescent="0.25">
      <c r="B34" s="385" t="s">
        <v>290</v>
      </c>
      <c r="C34" s="384" t="s">
        <v>291</v>
      </c>
      <c r="D34" s="384">
        <v>1</v>
      </c>
    </row>
    <row r="35" spans="2:4" x14ac:dyDescent="0.25">
      <c r="B35" s="385" t="s">
        <v>292</v>
      </c>
      <c r="C35" s="384"/>
      <c r="D35" s="384">
        <v>0.25</v>
      </c>
    </row>
    <row r="36" spans="2:4" x14ac:dyDescent="0.25">
      <c r="B36" s="385" t="s">
        <v>293</v>
      </c>
      <c r="C36" s="384"/>
      <c r="D36" s="384">
        <v>0.25</v>
      </c>
    </row>
    <row r="37" spans="2:4" x14ac:dyDescent="0.25">
      <c r="B37" s="384" t="s">
        <v>294</v>
      </c>
      <c r="C37" s="384"/>
      <c r="D37" s="384">
        <v>0.75</v>
      </c>
    </row>
    <row r="38" spans="2:4" x14ac:dyDescent="0.25">
      <c r="B38" s="385" t="s">
        <v>295</v>
      </c>
      <c r="C38" s="384"/>
      <c r="D38" s="384">
        <v>0.5</v>
      </c>
    </row>
    <row r="39" spans="2:4" x14ac:dyDescent="0.25">
      <c r="B39" s="384" t="s">
        <v>296</v>
      </c>
      <c r="C39" s="384" t="s">
        <v>297</v>
      </c>
      <c r="D39" s="384">
        <v>1</v>
      </c>
    </row>
    <row r="42" spans="2:4" ht="18.75" x14ac:dyDescent="0.3">
      <c r="B42" s="383" t="str">
        <f>'INGRESO POR VENTAS'!A7</f>
        <v>CHORI PAPA</v>
      </c>
      <c r="C42" s="383" t="s">
        <v>283</v>
      </c>
      <c r="D42" s="383">
        <f>SUM(D44:D47)</f>
        <v>2.9</v>
      </c>
    </row>
    <row r="43" spans="2:4" x14ac:dyDescent="0.25">
      <c r="B43" s="307"/>
      <c r="C43" s="307"/>
      <c r="D43" s="307"/>
    </row>
    <row r="44" spans="2:4" x14ac:dyDescent="0.25">
      <c r="B44" s="307"/>
      <c r="C44" s="307"/>
      <c r="D44" s="307"/>
    </row>
    <row r="45" spans="2:4" x14ac:dyDescent="0.25">
      <c r="B45" s="385" t="s">
        <v>288</v>
      </c>
      <c r="C45" s="384" t="s">
        <v>289</v>
      </c>
      <c r="D45" s="384">
        <v>0.4</v>
      </c>
    </row>
    <row r="46" spans="2:4" x14ac:dyDescent="0.25">
      <c r="B46" s="385" t="s">
        <v>290</v>
      </c>
      <c r="C46" s="384" t="s">
        <v>289</v>
      </c>
      <c r="D46" s="384">
        <v>2</v>
      </c>
    </row>
    <row r="47" spans="2:4" x14ac:dyDescent="0.25">
      <c r="B47" s="384" t="s">
        <v>302</v>
      </c>
      <c r="C47" s="384"/>
      <c r="D47" s="384">
        <v>0.5</v>
      </c>
    </row>
    <row r="50" spans="2:4" ht="18.75" x14ac:dyDescent="0.3">
      <c r="B50" s="383" t="str">
        <f>'INGRESO POR VENTAS'!A8</f>
        <v>LOMO FINO A LA PARRILLA</v>
      </c>
      <c r="C50" s="383" t="s">
        <v>283</v>
      </c>
      <c r="D50" s="383">
        <f>SUM(D53:D60)</f>
        <v>13.15</v>
      </c>
    </row>
    <row r="51" spans="2:4" x14ac:dyDescent="0.25">
      <c r="B51" s="307"/>
      <c r="C51" s="307"/>
      <c r="D51" s="307"/>
    </row>
    <row r="52" spans="2:4" x14ac:dyDescent="0.25">
      <c r="B52" s="307"/>
      <c r="C52" s="307"/>
      <c r="D52" s="307"/>
    </row>
    <row r="53" spans="2:4" x14ac:dyDescent="0.25">
      <c r="B53" s="385" t="s">
        <v>303</v>
      </c>
      <c r="C53" s="384" t="s">
        <v>304</v>
      </c>
      <c r="D53" s="384">
        <v>9</v>
      </c>
    </row>
    <row r="54" spans="2:4" x14ac:dyDescent="0.25">
      <c r="B54" s="385" t="s">
        <v>288</v>
      </c>
      <c r="C54" s="384" t="s">
        <v>289</v>
      </c>
      <c r="D54" s="384">
        <v>0.4</v>
      </c>
    </row>
    <row r="55" spans="2:4" x14ac:dyDescent="0.25">
      <c r="B55" s="385" t="s">
        <v>290</v>
      </c>
      <c r="C55" s="384" t="s">
        <v>291</v>
      </c>
      <c r="D55" s="384">
        <v>1</v>
      </c>
    </row>
    <row r="56" spans="2:4" x14ac:dyDescent="0.25">
      <c r="B56" s="385" t="s">
        <v>292</v>
      </c>
      <c r="C56" s="384"/>
      <c r="D56" s="384">
        <v>0.25</v>
      </c>
    </row>
    <row r="57" spans="2:4" x14ac:dyDescent="0.25">
      <c r="B57" s="385" t="s">
        <v>293</v>
      </c>
      <c r="C57" s="384"/>
      <c r="D57" s="384">
        <v>0.25</v>
      </c>
    </row>
    <row r="58" spans="2:4" x14ac:dyDescent="0.25">
      <c r="B58" s="384" t="s">
        <v>294</v>
      </c>
      <c r="C58" s="384"/>
      <c r="D58" s="384">
        <v>0.75</v>
      </c>
    </row>
    <row r="59" spans="2:4" x14ac:dyDescent="0.25">
      <c r="B59" s="385" t="s">
        <v>295</v>
      </c>
      <c r="C59" s="384"/>
      <c r="D59" s="384">
        <v>0.5</v>
      </c>
    </row>
    <row r="60" spans="2:4" x14ac:dyDescent="0.25">
      <c r="B60" s="384" t="s">
        <v>296</v>
      </c>
      <c r="C60" s="384" t="s">
        <v>297</v>
      </c>
      <c r="D60" s="384">
        <v>1</v>
      </c>
    </row>
    <row r="63" spans="2:4" ht="18.75" x14ac:dyDescent="0.3">
      <c r="B63" s="383" t="str">
        <f>'INGRESO POR VENTAS'!A10</f>
        <v>COSTILLA DE CORDERO</v>
      </c>
      <c r="C63" s="383" t="s">
        <v>305</v>
      </c>
      <c r="D63" s="383">
        <f>SUM(D65:D72)</f>
        <v>10.55</v>
      </c>
    </row>
    <row r="64" spans="2:4" x14ac:dyDescent="0.25">
      <c r="B64" s="307"/>
      <c r="C64" s="307"/>
      <c r="D64" s="307"/>
    </row>
    <row r="65" spans="2:4" x14ac:dyDescent="0.25">
      <c r="B65" s="385" t="s">
        <v>306</v>
      </c>
      <c r="C65" s="384" t="s">
        <v>289</v>
      </c>
      <c r="D65" s="384">
        <v>6.4</v>
      </c>
    </row>
    <row r="66" spans="2:4" x14ac:dyDescent="0.25">
      <c r="B66" s="385" t="s">
        <v>288</v>
      </c>
      <c r="C66" s="384" t="s">
        <v>289</v>
      </c>
      <c r="D66" s="384">
        <v>0.4</v>
      </c>
    </row>
    <row r="67" spans="2:4" x14ac:dyDescent="0.25">
      <c r="B67" s="385" t="s">
        <v>290</v>
      </c>
      <c r="C67" s="384" t="s">
        <v>291</v>
      </c>
      <c r="D67" s="384">
        <v>1</v>
      </c>
    </row>
    <row r="68" spans="2:4" x14ac:dyDescent="0.25">
      <c r="B68" s="385" t="s">
        <v>292</v>
      </c>
      <c r="C68" s="384"/>
      <c r="D68" s="384">
        <v>0.25</v>
      </c>
    </row>
    <row r="69" spans="2:4" x14ac:dyDescent="0.25">
      <c r="B69" s="385" t="s">
        <v>293</v>
      </c>
      <c r="C69" s="384"/>
      <c r="D69" s="384">
        <v>0.25</v>
      </c>
    </row>
    <row r="70" spans="2:4" x14ac:dyDescent="0.25">
      <c r="B70" s="384" t="s">
        <v>294</v>
      </c>
      <c r="C70" s="384"/>
      <c r="D70" s="384">
        <v>0.75</v>
      </c>
    </row>
    <row r="71" spans="2:4" x14ac:dyDescent="0.25">
      <c r="B71" s="385" t="s">
        <v>295</v>
      </c>
      <c r="C71" s="384"/>
      <c r="D71" s="384">
        <v>0.5</v>
      </c>
    </row>
    <row r="72" spans="2:4" x14ac:dyDescent="0.25">
      <c r="B72" s="384" t="s">
        <v>296</v>
      </c>
      <c r="C72" s="384" t="s">
        <v>297</v>
      </c>
      <c r="D72" s="384">
        <v>1</v>
      </c>
    </row>
    <row r="75" spans="2:4" ht="18.75" x14ac:dyDescent="0.3">
      <c r="B75" s="383" t="str">
        <f>'INGRESO POR VENTAS'!A11</f>
        <v>COSTILLA DE CHANCHO A LA PARRILLA</v>
      </c>
      <c r="C75" s="383" t="s">
        <v>305</v>
      </c>
      <c r="D75" s="383">
        <f>SUM(D77:D84)</f>
        <v>10.15</v>
      </c>
    </row>
    <row r="76" spans="2:4" x14ac:dyDescent="0.25">
      <c r="B76" s="307"/>
      <c r="C76" s="307"/>
      <c r="D76" s="307"/>
    </row>
    <row r="77" spans="2:4" x14ac:dyDescent="0.25">
      <c r="B77" s="385" t="s">
        <v>307</v>
      </c>
      <c r="C77" s="384" t="s">
        <v>289</v>
      </c>
      <c r="D77" s="384">
        <v>6</v>
      </c>
    </row>
    <row r="78" spans="2:4" x14ac:dyDescent="0.25">
      <c r="B78" s="385" t="s">
        <v>288</v>
      </c>
      <c r="C78" s="384" t="s">
        <v>289</v>
      </c>
      <c r="D78" s="384">
        <v>0.4</v>
      </c>
    </row>
    <row r="79" spans="2:4" x14ac:dyDescent="0.25">
      <c r="B79" s="385" t="s">
        <v>290</v>
      </c>
      <c r="C79" s="384" t="s">
        <v>291</v>
      </c>
      <c r="D79" s="384">
        <v>1</v>
      </c>
    </row>
    <row r="80" spans="2:4" x14ac:dyDescent="0.25">
      <c r="B80" s="385" t="s">
        <v>292</v>
      </c>
      <c r="C80" s="384"/>
      <c r="D80" s="384">
        <v>0.25</v>
      </c>
    </row>
    <row r="81" spans="2:4" x14ac:dyDescent="0.25">
      <c r="B81" s="385" t="s">
        <v>293</v>
      </c>
      <c r="C81" s="384"/>
      <c r="D81" s="384">
        <v>0.25</v>
      </c>
    </row>
    <row r="82" spans="2:4" x14ac:dyDescent="0.25">
      <c r="B82" s="384" t="s">
        <v>294</v>
      </c>
      <c r="C82" s="384"/>
      <c r="D82" s="384">
        <v>0.75</v>
      </c>
    </row>
    <row r="83" spans="2:4" x14ac:dyDescent="0.25">
      <c r="B83" s="385" t="s">
        <v>295</v>
      </c>
      <c r="C83" s="384"/>
      <c r="D83" s="384">
        <v>0.5</v>
      </c>
    </row>
    <row r="84" spans="2:4" x14ac:dyDescent="0.25">
      <c r="B84" s="384" t="s">
        <v>296</v>
      </c>
      <c r="C84" s="384" t="s">
        <v>297</v>
      </c>
      <c r="D84" s="384">
        <v>1</v>
      </c>
    </row>
    <row r="87" spans="2:4" ht="18.75" x14ac:dyDescent="0.3">
      <c r="B87" s="383" t="str">
        <f>'INGRESO POR VENTAS'!A12</f>
        <v>POLLO BROASTER</v>
      </c>
      <c r="C87" s="383"/>
      <c r="D87" s="383">
        <f>SUM(D89:D93)</f>
        <v>5.6499999999999995</v>
      </c>
    </row>
    <row r="88" spans="2:4" x14ac:dyDescent="0.25">
      <c r="B88" s="307"/>
      <c r="C88" s="307"/>
      <c r="D88" s="307"/>
    </row>
    <row r="89" spans="2:4" x14ac:dyDescent="0.25">
      <c r="B89" s="385" t="s">
        <v>308</v>
      </c>
      <c r="C89" s="384" t="s">
        <v>309</v>
      </c>
      <c r="D89" s="384">
        <v>3.8</v>
      </c>
    </row>
    <row r="90" spans="2:4" x14ac:dyDescent="0.25">
      <c r="B90" s="385" t="s">
        <v>310</v>
      </c>
      <c r="C90" s="384" t="s">
        <v>289</v>
      </c>
      <c r="D90" s="384">
        <v>0.6</v>
      </c>
    </row>
    <row r="91" spans="2:4" x14ac:dyDescent="0.25">
      <c r="B91" s="385" t="s">
        <v>292</v>
      </c>
      <c r="C91" s="384"/>
      <c r="D91" s="384">
        <v>0.25</v>
      </c>
    </row>
    <row r="92" spans="2:4" x14ac:dyDescent="0.25">
      <c r="B92" s="385" t="s">
        <v>293</v>
      </c>
      <c r="C92" s="384"/>
      <c r="D92" s="384">
        <v>0.25</v>
      </c>
    </row>
    <row r="93" spans="2:4" x14ac:dyDescent="0.25">
      <c r="B93" s="384" t="s">
        <v>294</v>
      </c>
      <c r="C93" s="384"/>
      <c r="D93" s="384">
        <v>0.75</v>
      </c>
    </row>
    <row r="95" spans="2:4" ht="18.75" x14ac:dyDescent="0.3">
      <c r="B95" s="383" t="str">
        <f>'INGRESO POR VENTAS'!A13</f>
        <v>SALCHIPAPA</v>
      </c>
      <c r="C95" s="383"/>
      <c r="D95" s="383">
        <f>SUM(D97:D98)</f>
        <v>2.1</v>
      </c>
    </row>
    <row r="96" spans="2:4" x14ac:dyDescent="0.25">
      <c r="B96" s="307"/>
      <c r="C96" s="307"/>
      <c r="D96" s="307"/>
    </row>
    <row r="97" spans="2:4" x14ac:dyDescent="0.25">
      <c r="B97" s="385" t="s">
        <v>311</v>
      </c>
      <c r="C97" s="384" t="s">
        <v>312</v>
      </c>
      <c r="D97" s="384">
        <v>1.5</v>
      </c>
    </row>
    <row r="98" spans="2:4" x14ac:dyDescent="0.25">
      <c r="B98" s="385" t="s">
        <v>310</v>
      </c>
      <c r="C98" s="384" t="s">
        <v>289</v>
      </c>
      <c r="D98" s="384">
        <v>0.6</v>
      </c>
    </row>
    <row r="100" spans="2:4" ht="18.75" x14ac:dyDescent="0.3">
      <c r="B100" s="383" t="str">
        <f>'INGRESO POR VENTAS'!A14</f>
        <v>MOLLEJITAS</v>
      </c>
      <c r="C100" s="383"/>
      <c r="D100" s="383">
        <f>SUM(D102:D106)</f>
        <v>4.1500000000000004</v>
      </c>
    </row>
    <row r="101" spans="2:4" x14ac:dyDescent="0.25">
      <c r="B101" s="307"/>
      <c r="C101" s="307"/>
      <c r="D101" s="307"/>
    </row>
    <row r="102" spans="2:4" x14ac:dyDescent="0.25">
      <c r="B102" s="385" t="s">
        <v>313</v>
      </c>
      <c r="C102" s="384" t="s">
        <v>304</v>
      </c>
      <c r="D102" s="384">
        <v>2.2999999999999998</v>
      </c>
    </row>
    <row r="103" spans="2:4" x14ac:dyDescent="0.25">
      <c r="B103" s="385" t="s">
        <v>310</v>
      </c>
      <c r="C103" s="384" t="s">
        <v>289</v>
      </c>
      <c r="D103" s="384">
        <v>0.6</v>
      </c>
    </row>
    <row r="104" spans="2:4" x14ac:dyDescent="0.25">
      <c r="B104" s="385" t="s">
        <v>292</v>
      </c>
      <c r="C104" s="384"/>
      <c r="D104" s="384">
        <v>0.25</v>
      </c>
    </row>
    <row r="105" spans="2:4" x14ac:dyDescent="0.25">
      <c r="B105" s="385" t="s">
        <v>293</v>
      </c>
      <c r="C105" s="384"/>
      <c r="D105" s="384">
        <v>0.25</v>
      </c>
    </row>
    <row r="106" spans="2:4" x14ac:dyDescent="0.25">
      <c r="B106" s="384" t="s">
        <v>294</v>
      </c>
      <c r="C106" s="384"/>
      <c r="D106" s="384">
        <v>0.75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topLeftCell="A4" zoomScale="85" zoomScaleNormal="85" workbookViewId="0">
      <selection activeCell="S13" sqref="S13"/>
    </sheetView>
  </sheetViews>
  <sheetFormatPr baseColWidth="10" defaultColWidth="11.42578125" defaultRowHeight="12.75" x14ac:dyDescent="0.25"/>
  <cols>
    <col min="1" max="1" width="31" style="29" customWidth="1"/>
    <col min="2" max="2" width="11.42578125" style="29"/>
    <col min="3" max="3" width="12.5703125" style="29" bestFit="1" customWidth="1"/>
    <col min="4" max="4" width="11" style="29" bestFit="1" customWidth="1"/>
    <col min="5" max="5" width="12.28515625" style="29" bestFit="1" customWidth="1"/>
    <col min="6" max="6" width="11.140625" style="29" customWidth="1"/>
    <col min="7" max="7" width="9.5703125" style="29" bestFit="1" customWidth="1"/>
    <col min="8" max="8" width="4.140625" style="29" customWidth="1"/>
    <col min="9" max="9" width="12.140625" style="29" bestFit="1" customWidth="1"/>
    <col min="10" max="10" width="3.42578125" style="29" customWidth="1"/>
    <col min="11" max="11" width="9.7109375" style="29" bestFit="1" customWidth="1"/>
    <col min="12" max="16384" width="11.42578125" style="29"/>
  </cols>
  <sheetData>
    <row r="2" spans="1:14" ht="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38.25" x14ac:dyDescent="0.25">
      <c r="A4" s="289" t="s">
        <v>314</v>
      </c>
      <c r="B4" s="289" t="s">
        <v>315</v>
      </c>
      <c r="C4" s="289" t="s">
        <v>316</v>
      </c>
      <c r="D4" s="289" t="s">
        <v>317</v>
      </c>
      <c r="E4" s="289" t="s">
        <v>318</v>
      </c>
      <c r="F4" s="289" t="s">
        <v>319</v>
      </c>
      <c r="G4" s="289" t="s">
        <v>320</v>
      </c>
      <c r="H4"/>
      <c r="I4" s="289" t="s">
        <v>321</v>
      </c>
      <c r="J4"/>
      <c r="K4" s="289" t="s">
        <v>322</v>
      </c>
      <c r="L4"/>
      <c r="M4"/>
      <c r="N4"/>
    </row>
    <row r="5" spans="1:14" ht="15" x14ac:dyDescent="0.25">
      <c r="A5" s="290" t="str">
        <f>'INGRESO POR VENTAS'!A4</f>
        <v>CHANCHO A LA PARRILLA</v>
      </c>
      <c r="B5" s="386">
        <f>'INGRESO POR VENTAS'!B4</f>
        <v>560</v>
      </c>
      <c r="C5" s="321">
        <f>+B5/$B$16</f>
        <v>0.11235955056179775</v>
      </c>
      <c r="D5" s="291">
        <f>'INGRESO POR VENTAS'!B20</f>
        <v>15</v>
      </c>
      <c r="E5" s="292">
        <f>'INSUMOS DE PREPARACION'!D6+'INSUMOS DE PREPARACION'!H18</f>
        <v>11.27139780259634</v>
      </c>
      <c r="F5" s="326">
        <f>D5-E5</f>
        <v>3.7286021974036601</v>
      </c>
      <c r="G5" s="326">
        <f>C5*F5</f>
        <v>0.41894406712400672</v>
      </c>
      <c r="H5"/>
      <c r="I5" s="391">
        <f>($B$20/$G$16)*C5</f>
        <v>173.02276907760924</v>
      </c>
      <c r="J5" s="293"/>
      <c r="K5" s="280">
        <f>I5*D5</f>
        <v>2595.3415361641387</v>
      </c>
      <c r="L5"/>
      <c r="M5"/>
      <c r="N5"/>
    </row>
    <row r="6" spans="1:14" ht="15" x14ac:dyDescent="0.25">
      <c r="A6" s="290" t="str">
        <f>'INGRESO POR VENTAS'!A5</f>
        <v>CORDERO  A  LA PARRILLA</v>
      </c>
      <c r="B6" s="386">
        <f>'INGRESO POR VENTAS'!B5</f>
        <v>420</v>
      </c>
      <c r="C6" s="321">
        <f t="shared" ref="C6:C15" si="0">+B6/$B$16</f>
        <v>8.4269662921348312E-2</v>
      </c>
      <c r="D6" s="291">
        <f>'INGRESO POR VENTAS'!B21</f>
        <v>16</v>
      </c>
      <c r="E6" s="292">
        <f>'INSUMOS DE PREPARACION'!D18+'INSUMOS DE PREPARACION'!H18</f>
        <v>12.071397802596341</v>
      </c>
      <c r="F6" s="326">
        <f t="shared" ref="F6:F15" si="1">D6-E6</f>
        <v>3.9286021974036593</v>
      </c>
      <c r="G6" s="326">
        <f t="shared" ref="G6:G15" si="2">C6*F6</f>
        <v>0.33106198292727468</v>
      </c>
      <c r="H6"/>
      <c r="I6" s="391">
        <f t="shared" ref="I6:I15" si="3">($B$20/$G$16)*C6</f>
        <v>129.76707680820692</v>
      </c>
      <c r="J6" s="293"/>
      <c r="K6" s="280">
        <f t="shared" ref="K6:K15" si="4">I6*D6</f>
        <v>2076.2732289313108</v>
      </c>
      <c r="L6"/>
      <c r="M6"/>
      <c r="N6"/>
    </row>
    <row r="7" spans="1:14" ht="15" x14ac:dyDescent="0.25">
      <c r="A7" s="290" t="str">
        <f>'INGRESO POR VENTAS'!A6</f>
        <v>RES A LA PARRILLA</v>
      </c>
      <c r="B7" s="386">
        <f>'INGRESO POR VENTAS'!B6</f>
        <v>280</v>
      </c>
      <c r="C7" s="321">
        <f t="shared" si="0"/>
        <v>5.6179775280898875E-2</v>
      </c>
      <c r="D7" s="291">
        <f>'INGRESO POR VENTAS'!B22</f>
        <v>15</v>
      </c>
      <c r="E7" s="292">
        <f>'INSUMOS DE PREPARACION'!D30+'INSUMOS DE PREPARACION'!H18</f>
        <v>10.871397802596341</v>
      </c>
      <c r="F7" s="326">
        <f t="shared" si="1"/>
        <v>4.1286021974036586</v>
      </c>
      <c r="G7" s="326">
        <f t="shared" si="2"/>
        <v>0.23194394367436283</v>
      </c>
      <c r="H7"/>
      <c r="I7" s="391">
        <f t="shared" si="3"/>
        <v>86.51138453880462</v>
      </c>
      <c r="J7" s="293"/>
      <c r="K7" s="280">
        <f t="shared" si="4"/>
        <v>1297.6707680820693</v>
      </c>
      <c r="L7"/>
      <c r="M7"/>
      <c r="N7"/>
    </row>
    <row r="8" spans="1:14" ht="15" x14ac:dyDescent="0.25">
      <c r="A8" s="290" t="str">
        <f>'INGRESO POR VENTAS'!A7</f>
        <v>CHORI PAPA</v>
      </c>
      <c r="B8" s="386">
        <f>'INGRESO POR VENTAS'!B7</f>
        <v>700</v>
      </c>
      <c r="C8" s="321">
        <f t="shared" si="0"/>
        <v>0.1404494382022472</v>
      </c>
      <c r="D8" s="291">
        <f>'INGRESO POR VENTAS'!B23</f>
        <v>8</v>
      </c>
      <c r="E8" s="292">
        <f>'INSUMOS DE PREPARACION'!D42+'INSUMOS DE PREPARACION'!H18</f>
        <v>4.4213978025963394</v>
      </c>
      <c r="F8" s="326">
        <f t="shared" si="1"/>
        <v>3.5786021974036606</v>
      </c>
      <c r="G8" s="326">
        <f t="shared" si="2"/>
        <v>0.50261266817467143</v>
      </c>
      <c r="H8"/>
      <c r="I8" s="391">
        <f t="shared" si="3"/>
        <v>216.27846134701156</v>
      </c>
      <c r="J8" s="293"/>
      <c r="K8" s="280">
        <f t="shared" si="4"/>
        <v>1730.2276907760925</v>
      </c>
      <c r="L8"/>
      <c r="M8"/>
      <c r="N8"/>
    </row>
    <row r="9" spans="1:14" ht="15" x14ac:dyDescent="0.25">
      <c r="A9" s="290" t="str">
        <f>'INGRESO POR VENTAS'!A8</f>
        <v>LOMO FINO A LA PARRILLA</v>
      </c>
      <c r="B9" s="386">
        <f>'INGRESO POR VENTAS'!B8</f>
        <v>280</v>
      </c>
      <c r="C9" s="321">
        <f t="shared" si="0"/>
        <v>5.6179775280898875E-2</v>
      </c>
      <c r="D9" s="291">
        <f>'INGRESO POR VENTAS'!B24</f>
        <v>28</v>
      </c>
      <c r="E9" s="292">
        <f>'INSUMOS DE PREPARACION'!D50+'INSUMOS DE PREPARACION'!H18</f>
        <v>14.67139780259634</v>
      </c>
      <c r="F9" s="326">
        <f t="shared" si="1"/>
        <v>13.32860219740366</v>
      </c>
      <c r="G9" s="326">
        <f t="shared" si="2"/>
        <v>0.74879787625863259</v>
      </c>
      <c r="H9"/>
      <c r="I9" s="391">
        <f t="shared" si="3"/>
        <v>86.51138453880462</v>
      </c>
      <c r="J9" s="293"/>
      <c r="K9" s="280">
        <f t="shared" si="4"/>
        <v>2422.3187670865295</v>
      </c>
      <c r="L9"/>
      <c r="M9"/>
      <c r="N9"/>
    </row>
    <row r="10" spans="1:14" ht="15" x14ac:dyDescent="0.25">
      <c r="A10" s="290" t="str">
        <f>'INGRESO POR VENTAS'!A9</f>
        <v>POLLO A LA PARRILLA</v>
      </c>
      <c r="B10" s="386">
        <f>'INGRESO POR VENTAS'!B9</f>
        <v>280</v>
      </c>
      <c r="C10" s="321">
        <f t="shared" si="0"/>
        <v>5.6179775280898875E-2</v>
      </c>
      <c r="D10" s="291">
        <f>'INGRESO POR VENTAS'!B25</f>
        <v>15</v>
      </c>
      <c r="E10" s="292">
        <f>'INSUMOS DE PREPARACION'!I6+'INSUMOS DE PREPARACION'!H18</f>
        <v>9.4713978025963392</v>
      </c>
      <c r="F10" s="326">
        <f t="shared" si="1"/>
        <v>5.5286021974036608</v>
      </c>
      <c r="G10" s="326">
        <f t="shared" si="2"/>
        <v>0.31059562906762139</v>
      </c>
      <c r="H10"/>
      <c r="I10" s="391">
        <f t="shared" si="3"/>
        <v>86.51138453880462</v>
      </c>
      <c r="J10" s="293"/>
      <c r="K10" s="280">
        <f t="shared" si="4"/>
        <v>1297.6707680820693</v>
      </c>
      <c r="L10"/>
      <c r="M10"/>
      <c r="N10"/>
    </row>
    <row r="11" spans="1:14" ht="15" x14ac:dyDescent="0.25">
      <c r="A11" s="290" t="str">
        <f>'INGRESO POR VENTAS'!A10</f>
        <v>COSTILLA DE CORDERO</v>
      </c>
      <c r="B11" s="386">
        <f>'INGRESO POR VENTAS'!B10</f>
        <v>560</v>
      </c>
      <c r="C11" s="321">
        <f t="shared" si="0"/>
        <v>0.11235955056179775</v>
      </c>
      <c r="D11" s="291">
        <f>'INGRESO POR VENTAS'!B26</f>
        <v>18</v>
      </c>
      <c r="E11" s="292">
        <f>'INSUMOS DE PREPARACION'!D63+'INSUMOS DE PREPARACION'!H18</f>
        <v>12.071397802596341</v>
      </c>
      <c r="F11" s="326">
        <f t="shared" si="1"/>
        <v>5.9286021974036593</v>
      </c>
      <c r="G11" s="326">
        <f t="shared" si="2"/>
        <v>0.66613507835996166</v>
      </c>
      <c r="H11"/>
      <c r="I11" s="391">
        <f t="shared" si="3"/>
        <v>173.02276907760924</v>
      </c>
      <c r="J11" s="293"/>
      <c r="K11" s="280">
        <f t="shared" si="4"/>
        <v>3114.4098433969662</v>
      </c>
      <c r="L11"/>
      <c r="M11"/>
      <c r="N11"/>
    </row>
    <row r="12" spans="1:14" ht="15" x14ac:dyDescent="0.25">
      <c r="A12" s="290" t="str">
        <f>'INGRESO POR VENTAS'!A11</f>
        <v>COSTILLA DE CHANCHO A LA PARRILLA</v>
      </c>
      <c r="B12" s="386">
        <f>'INGRESO POR VENTAS'!B11</f>
        <v>224</v>
      </c>
      <c r="C12" s="321">
        <f t="shared" si="0"/>
        <v>4.49438202247191E-2</v>
      </c>
      <c r="D12" s="291">
        <f>'INGRESO POR VENTAS'!B27</f>
        <v>25</v>
      </c>
      <c r="E12" s="292">
        <f>'INSUMOS DE PREPARACION'!D75+'INSUMOS DE PREPARACION'!H18</f>
        <v>11.67139780259634</v>
      </c>
      <c r="F12" s="326">
        <f t="shared" si="1"/>
        <v>13.32860219740366</v>
      </c>
      <c r="G12" s="326">
        <f t="shared" si="2"/>
        <v>0.59903830100690603</v>
      </c>
      <c r="H12"/>
      <c r="I12" s="391">
        <f t="shared" si="3"/>
        <v>69.209107631043693</v>
      </c>
      <c r="J12" s="293"/>
      <c r="K12" s="280">
        <f t="shared" si="4"/>
        <v>1730.2276907760922</v>
      </c>
      <c r="L12"/>
      <c r="M12"/>
      <c r="N12"/>
    </row>
    <row r="13" spans="1:14" ht="15" x14ac:dyDescent="0.25">
      <c r="A13" s="290" t="str">
        <f>'INGRESO POR VENTAS'!A12</f>
        <v>POLLO BROASTER</v>
      </c>
      <c r="B13" s="386">
        <f>'INGRESO POR VENTAS'!B12</f>
        <v>420</v>
      </c>
      <c r="C13" s="321">
        <f t="shared" si="0"/>
        <v>8.4269662921348312E-2</v>
      </c>
      <c r="D13" s="291">
        <f>'INGRESO POR VENTAS'!B28</f>
        <v>12</v>
      </c>
      <c r="E13" s="292">
        <f>'INSUMOS DE PREPARACION'!D87+'INSUMOS DE PREPARACION'!H18</f>
        <v>7.1713978025963385</v>
      </c>
      <c r="F13" s="326">
        <f t="shared" si="1"/>
        <v>4.8286021974036615</v>
      </c>
      <c r="G13" s="326">
        <f t="shared" si="2"/>
        <v>0.40690467955648829</v>
      </c>
      <c r="H13"/>
      <c r="I13" s="391">
        <f t="shared" si="3"/>
        <v>129.76707680820692</v>
      </c>
      <c r="J13" s="293"/>
      <c r="K13" s="280">
        <f t="shared" si="4"/>
        <v>1557.2049216984831</v>
      </c>
      <c r="L13"/>
      <c r="M13"/>
      <c r="N13"/>
    </row>
    <row r="14" spans="1:14" ht="15" x14ac:dyDescent="0.25">
      <c r="A14" s="290" t="str">
        <f>'INGRESO POR VENTAS'!A13</f>
        <v>SALCHIPAPA</v>
      </c>
      <c r="B14" s="386">
        <f>'INGRESO POR VENTAS'!B13</f>
        <v>700</v>
      </c>
      <c r="C14" s="321">
        <f t="shared" si="0"/>
        <v>0.1404494382022472</v>
      </c>
      <c r="D14" s="291">
        <f>'INGRESO POR VENTAS'!B29</f>
        <v>6</v>
      </c>
      <c r="E14" s="292">
        <f>'INSUMOS DE PREPARACION'!D95+'INSUMOS DE PREPARACION'!H18</f>
        <v>3.6213978025963396</v>
      </c>
      <c r="F14" s="326">
        <f t="shared" si="1"/>
        <v>2.3786021974036604</v>
      </c>
      <c r="G14" s="326">
        <f t="shared" si="2"/>
        <v>0.33407334233197478</v>
      </c>
      <c r="H14"/>
      <c r="I14" s="391">
        <f t="shared" si="3"/>
        <v>216.27846134701156</v>
      </c>
      <c r="J14" s="293"/>
      <c r="K14" s="280">
        <f t="shared" si="4"/>
        <v>1297.6707680820693</v>
      </c>
      <c r="L14"/>
      <c r="M14"/>
      <c r="N14"/>
    </row>
    <row r="15" spans="1:14" ht="15" x14ac:dyDescent="0.25">
      <c r="A15" s="290" t="str">
        <f>'INGRESO POR VENTAS'!A14</f>
        <v>MOLLEJITAS</v>
      </c>
      <c r="B15" s="386">
        <f>'INGRESO POR VENTAS'!B14</f>
        <v>560</v>
      </c>
      <c r="C15" s="321">
        <f t="shared" si="0"/>
        <v>0.11235955056179775</v>
      </c>
      <c r="D15" s="291">
        <f>'INGRESO POR VENTAS'!B30</f>
        <v>9</v>
      </c>
      <c r="E15" s="292">
        <f>'INSUMOS DE PREPARACION'!D100+'INSUMOS DE PREPARACION'!H18</f>
        <v>5.6713978025963403</v>
      </c>
      <c r="F15" s="326">
        <f t="shared" si="1"/>
        <v>3.3286021974036597</v>
      </c>
      <c r="G15" s="326">
        <f t="shared" si="2"/>
        <v>0.37400024689928757</v>
      </c>
      <c r="H15"/>
      <c r="I15" s="391">
        <f t="shared" si="3"/>
        <v>173.02276907760924</v>
      </c>
      <c r="J15" s="293"/>
      <c r="K15" s="280">
        <f t="shared" si="4"/>
        <v>1557.2049216984831</v>
      </c>
      <c r="L15"/>
      <c r="M15"/>
      <c r="N15"/>
    </row>
    <row r="16" spans="1:14" ht="15" x14ac:dyDescent="0.25">
      <c r="A16"/>
      <c r="B16" s="299">
        <f>SUM(B5:B15)</f>
        <v>4984</v>
      </c>
      <c r="C16" s="294">
        <f>+B16/$B$16</f>
        <v>1</v>
      </c>
      <c r="D16"/>
      <c r="E16"/>
      <c r="F16"/>
      <c r="G16" s="295">
        <f>SUM(G5:G15)</f>
        <v>4.9241078153811877</v>
      </c>
      <c r="H16" s="296"/>
      <c r="I16" s="297">
        <f>SUM(I5:I15)</f>
        <v>1539.9026447907222</v>
      </c>
      <c r="J16" s="298"/>
      <c r="K16" s="299">
        <f>SUM(K5:K15)</f>
        <v>20676.220904774302</v>
      </c>
      <c r="L16"/>
      <c r="M16"/>
      <c r="N16"/>
    </row>
    <row r="17" spans="1:14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5" x14ac:dyDescent="0.25">
      <c r="A18"/>
      <c r="B18"/>
      <c r="C18"/>
      <c r="D18"/>
      <c r="E18"/>
      <c r="F18"/>
      <c r="G18"/>
      <c r="H18"/>
      <c r="I18"/>
      <c r="J18"/>
      <c r="K18"/>
      <c r="L18" s="300"/>
      <c r="M18"/>
      <c r="N18"/>
    </row>
    <row r="19" spans="1:14" ht="15.75" thickBot="1" x14ac:dyDescent="0.3">
      <c r="A19" s="301" t="s">
        <v>323</v>
      </c>
      <c r="B19" s="302" t="s">
        <v>79</v>
      </c>
      <c r="C19"/>
      <c r="D19"/>
      <c r="E19"/>
      <c r="F19"/>
      <c r="G19"/>
      <c r="H19"/>
      <c r="I19"/>
      <c r="J19"/>
      <c r="K19"/>
      <c r="L19" s="303"/>
      <c r="M19"/>
      <c r="N19"/>
    </row>
    <row r="20" spans="1:14" ht="16.5" thickBot="1" x14ac:dyDescent="0.3">
      <c r="A20" s="304" t="s">
        <v>324</v>
      </c>
      <c r="B20" s="371">
        <f>'AMORTIZACION DE CREDITO'!C10+'PLANILLA DE EMPLEADOS'!J21+'GASTOS INDIRECTOS'!E14</f>
        <v>7582.6466481401558</v>
      </c>
      <c r="C20"/>
      <c r="D20"/>
      <c r="E20"/>
      <c r="F20"/>
      <c r="G20"/>
      <c r="H20"/>
      <c r="I20"/>
      <c r="J20"/>
      <c r="K20"/>
      <c r="L20" s="300"/>
      <c r="M20"/>
      <c r="N20"/>
    </row>
    <row r="21" spans="1:14" ht="15.75" x14ac:dyDescent="0.25">
      <c r="A21"/>
      <c r="B21" s="370">
        <f>G16</f>
        <v>4.9241078153811877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B22" s="361"/>
    </row>
    <row r="23" spans="1:14" ht="18" x14ac:dyDescent="0.25">
      <c r="B23" s="372" t="s">
        <v>325</v>
      </c>
      <c r="C23" s="373">
        <f>B20/B21</f>
        <v>1539.9026447907222</v>
      </c>
      <c r="D23" s="376" t="s">
        <v>326</v>
      </c>
    </row>
    <row r="24" spans="1:14" ht="15.75" x14ac:dyDescent="0.25">
      <c r="B24" s="374"/>
      <c r="C24" s="375"/>
      <c r="D24" s="376"/>
    </row>
    <row r="25" spans="1:14" ht="15" x14ac:dyDescent="0.25">
      <c r="I25" s="339" t="s">
        <v>327</v>
      </c>
    </row>
    <row r="26" spans="1:14" ht="15" x14ac:dyDescent="0.25">
      <c r="I26" s="340" t="s">
        <v>328</v>
      </c>
    </row>
    <row r="27" spans="1:14" ht="15" x14ac:dyDescent="0.25">
      <c r="I27" s="340" t="s">
        <v>329</v>
      </c>
    </row>
    <row r="28" spans="1:14" ht="15" x14ac:dyDescent="0.25">
      <c r="I28" s="340"/>
    </row>
    <row r="29" spans="1:14" ht="15" x14ac:dyDescent="0.25">
      <c r="I29" s="340" t="s">
        <v>330</v>
      </c>
    </row>
    <row r="30" spans="1:14" ht="15.75" x14ac:dyDescent="0.25">
      <c r="I30" s="34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selection activeCell="K53" sqref="K53"/>
    </sheetView>
  </sheetViews>
  <sheetFormatPr baseColWidth="10" defaultColWidth="11.42578125" defaultRowHeight="13.5" x14ac:dyDescent="0.25"/>
  <cols>
    <col min="1" max="1" width="3.42578125" style="28" customWidth="1"/>
    <col min="2" max="2" width="28.7109375" style="28" customWidth="1"/>
    <col min="3" max="3" width="11.42578125" style="87" bestFit="1" customWidth="1"/>
    <col min="4" max="4" width="12" style="87" customWidth="1"/>
    <col min="5" max="7" width="11.42578125" style="87" bestFit="1" customWidth="1"/>
    <col min="8" max="8" width="11.42578125" style="87" customWidth="1"/>
    <col min="9" max="10" width="11.42578125" style="87" bestFit="1" customWidth="1"/>
    <col min="11" max="11" width="6.42578125" style="88" customWidth="1"/>
    <col min="12" max="16384" width="11.42578125" style="28"/>
  </cols>
  <sheetData>
    <row r="1" spans="1:10" ht="16.5" x14ac:dyDescent="0.3">
      <c r="A1" s="417" t="s">
        <v>331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4.25" thickBot="1" x14ac:dyDescent="0.3"/>
    <row r="3" spans="1:10" ht="14.25" x14ac:dyDescent="0.3">
      <c r="A3" s="238" t="s">
        <v>332</v>
      </c>
      <c r="B3" s="239"/>
      <c r="C3" s="240"/>
      <c r="D3" s="241"/>
      <c r="E3" s="241"/>
      <c r="F3" s="241"/>
      <c r="G3" s="242"/>
      <c r="H3" s="243"/>
      <c r="I3" s="243"/>
      <c r="J3" s="244"/>
    </row>
    <row r="4" spans="1:10" ht="27" x14ac:dyDescent="0.3">
      <c r="A4" s="245" t="s">
        <v>333</v>
      </c>
      <c r="B4" s="246" t="s">
        <v>334</v>
      </c>
      <c r="C4" s="212" t="s">
        <v>193</v>
      </c>
      <c r="D4" s="212" t="s">
        <v>194</v>
      </c>
      <c r="E4" s="212" t="s">
        <v>195</v>
      </c>
      <c r="F4" s="212" t="s">
        <v>196</v>
      </c>
      <c r="G4" s="212" t="s">
        <v>197</v>
      </c>
      <c r="H4" s="212" t="s">
        <v>198</v>
      </c>
      <c r="I4" s="212" t="s">
        <v>199</v>
      </c>
      <c r="J4" s="247" t="s">
        <v>200</v>
      </c>
    </row>
    <row r="5" spans="1:10" ht="14.25" x14ac:dyDescent="0.3">
      <c r="A5" s="102" t="s">
        <v>335</v>
      </c>
      <c r="B5" s="95" t="s">
        <v>336</v>
      </c>
      <c r="C5" s="100">
        <f>'BALANCE GENERAL'!D9</f>
        <v>123155.77505557952</v>
      </c>
      <c r="D5" s="100">
        <f>'BALANCE GENERAL'!E9</f>
        <v>89196.735055579527</v>
      </c>
      <c r="E5" s="100">
        <f>'BALANCE GENERAL'!F9</f>
        <v>121493.89505557952</v>
      </c>
      <c r="F5" s="100">
        <f>'BALANCE GENERAL'!G9</f>
        <v>118299.67505557952</v>
      </c>
      <c r="G5" s="100">
        <f>'BALANCE GENERAL'!H9</f>
        <v>123503.5309638957</v>
      </c>
      <c r="H5" s="100">
        <f>'BALANCE GENERAL'!I9</f>
        <v>126027.18387309447</v>
      </c>
      <c r="I5" s="100">
        <f>'BALANCE GENERAL'!J9</f>
        <v>125087.34778292617</v>
      </c>
      <c r="J5" s="103">
        <f>'BALANCE GENERAL'!K9</f>
        <v>123509.36041400486</v>
      </c>
    </row>
    <row r="6" spans="1:10" ht="14.25" x14ac:dyDescent="0.3">
      <c r="A6" s="102" t="s">
        <v>337</v>
      </c>
      <c r="B6" s="95" t="s">
        <v>338</v>
      </c>
      <c r="C6" s="100">
        <f>'BALANCE GENERAL'!D21</f>
        <v>29105.502974671188</v>
      </c>
      <c r="D6" s="100">
        <f>'BALANCE GENERAL'!E21</f>
        <v>19180.431717607156</v>
      </c>
      <c r="E6" s="100">
        <f>'BALANCE GENERAL'!F21</f>
        <v>29896.593202529351</v>
      </c>
      <c r="F6" s="100">
        <f>'BALANCE GENERAL'!G21</f>
        <v>30515.886925123919</v>
      </c>
      <c r="G6" s="100">
        <f>'BALANCE GENERAL'!H21</f>
        <v>31486.905896733519</v>
      </c>
      <c r="H6" s="100">
        <f>'BALANCE GENERAL'!I21</f>
        <v>32226.374988423566</v>
      </c>
      <c r="I6" s="100">
        <f>'BALANCE GENERAL'!J21</f>
        <v>32740.11283057875</v>
      </c>
      <c r="J6" s="103">
        <f>'BALANCE GENERAL'!K21</f>
        <v>33623.077597723452</v>
      </c>
    </row>
    <row r="7" spans="1:10" ht="14.25" x14ac:dyDescent="0.3">
      <c r="A7" s="102" t="s">
        <v>209</v>
      </c>
      <c r="B7" s="95" t="s">
        <v>339</v>
      </c>
      <c r="C7" s="100">
        <f>'BALANCE GENERAL'!D8</f>
        <v>32107.599999999999</v>
      </c>
      <c r="D7" s="100">
        <f>'BALANCE GENERAL'!E8</f>
        <v>32107.599999999999</v>
      </c>
      <c r="E7" s="100">
        <f>'BALANCE GENERAL'!F8</f>
        <v>32107.599999999999</v>
      </c>
      <c r="F7" s="100">
        <f>'BALANCE GENERAL'!G8</f>
        <v>32107.599999999999</v>
      </c>
      <c r="G7" s="100">
        <f>'BALANCE GENERAL'!H8</f>
        <v>32107.599999999999</v>
      </c>
      <c r="H7" s="100">
        <f>'BALANCE GENERAL'!I8</f>
        <v>32107.599999999999</v>
      </c>
      <c r="I7" s="100">
        <f>'BALANCE GENERAL'!J8</f>
        <v>32107.599999999999</v>
      </c>
      <c r="J7" s="103">
        <f>'BALANCE GENERAL'!K8</f>
        <v>32107.599999999999</v>
      </c>
    </row>
    <row r="8" spans="1:10" ht="14.25" x14ac:dyDescent="0.3">
      <c r="A8" s="102" t="s">
        <v>204</v>
      </c>
      <c r="B8" s="95" t="s">
        <v>340</v>
      </c>
      <c r="C8" s="100">
        <f>'BALANCE GENERAL'!D6</f>
        <v>81010.17505557953</v>
      </c>
      <c r="D8" s="100">
        <f>'BALANCE GENERAL'!E6</f>
        <v>48724.135055579529</v>
      </c>
      <c r="E8" s="100">
        <f>'BALANCE GENERAL'!F6</f>
        <v>81021.295055579525</v>
      </c>
      <c r="F8" s="100">
        <f>'BALANCE GENERAL'!G6</f>
        <v>79500.075055579524</v>
      </c>
      <c r="G8" s="100">
        <f>'BALANCE GENERAL'!H6</f>
        <v>83030.930963895706</v>
      </c>
      <c r="H8" s="100">
        <f>'BALANCE GENERAL'!I6</f>
        <v>85554.583873094467</v>
      </c>
      <c r="I8" s="100">
        <f>'BALANCE GENERAL'!J6</f>
        <v>82941.747782926162</v>
      </c>
      <c r="J8" s="103">
        <f>'BALANCE GENERAL'!K6</f>
        <v>81363.76041400485</v>
      </c>
    </row>
    <row r="9" spans="1:10" ht="14.25" x14ac:dyDescent="0.3">
      <c r="A9" s="102" t="s">
        <v>341</v>
      </c>
      <c r="B9" s="95" t="s">
        <v>342</v>
      </c>
      <c r="C9" s="100">
        <f>'BALANCE GENERAL'!D30</f>
        <v>81373.606823981158</v>
      </c>
      <c r="D9" s="100">
        <f>'BALANCE GENERAL'!E30</f>
        <v>115157.80604800476</v>
      </c>
      <c r="E9" s="100">
        <f>'BALANCE GENERAL'!F30</f>
        <v>172929.15376390953</v>
      </c>
      <c r="F9" s="100">
        <f>'BALANCE GENERAL'!G30</f>
        <v>231033.96733044216</v>
      </c>
      <c r="G9" s="100">
        <f>'BALANCE GENERAL'!H30</f>
        <v>290189.86803553381</v>
      </c>
      <c r="H9" s="100">
        <f>'BALANCE GENERAL'!I30</f>
        <v>349743.94440538163</v>
      </c>
      <c r="I9" s="100">
        <f>'BALANCE GENERAL'!J30</f>
        <v>409046.41807485151</v>
      </c>
      <c r="J9" s="103">
        <f>'BALANCE GENERAL'!K30</f>
        <v>468824.33431124542</v>
      </c>
    </row>
    <row r="10" spans="1:10" ht="14.25" x14ac:dyDescent="0.3">
      <c r="A10" s="102" t="s">
        <v>343</v>
      </c>
      <c r="B10" s="95" t="s">
        <v>344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3">
        <v>0</v>
      </c>
    </row>
    <row r="11" spans="1:10" ht="14.25" x14ac:dyDescent="0.3">
      <c r="A11" s="102" t="s">
        <v>345</v>
      </c>
      <c r="B11" s="95" t="s">
        <v>346</v>
      </c>
      <c r="C11" s="100">
        <f>'BALANCE GENERAL'!D28</f>
        <v>57873.606823981158</v>
      </c>
      <c r="D11" s="100">
        <f>'BALANCE GENERAL'!E28</f>
        <v>33784.1992240236</v>
      </c>
      <c r="E11" s="100">
        <f>'BALANCE GENERAL'!F28</f>
        <v>57771.347715904783</v>
      </c>
      <c r="F11" s="100">
        <f>'BALANCE GENERAL'!G28</f>
        <v>58104.813566532626</v>
      </c>
      <c r="G11" s="100">
        <f>'BALANCE GENERAL'!H28</f>
        <v>59155.900705091648</v>
      </c>
      <c r="H11" s="100">
        <f>'BALANCE GENERAL'!I28</f>
        <v>59554.076369847826</v>
      </c>
      <c r="I11" s="100">
        <f>'BALANCE GENERAL'!J28</f>
        <v>59302.473669469851</v>
      </c>
      <c r="J11" s="103">
        <f>'BALANCE GENERAL'!K28</f>
        <v>59777.916236393918</v>
      </c>
    </row>
    <row r="12" spans="1:10" ht="14.25" x14ac:dyDescent="0.3">
      <c r="A12" s="102" t="s">
        <v>347</v>
      </c>
      <c r="B12" s="95" t="s">
        <v>348</v>
      </c>
      <c r="C12" s="100">
        <f>'BALANCE GENERAL'!D15</f>
        <v>157872.70588891284</v>
      </c>
      <c r="D12" s="100">
        <f>'BALANCE GENERAL'!E15</f>
        <v>123913.66588891286</v>
      </c>
      <c r="E12" s="100">
        <f>'BALANCE GENERAL'!F15</f>
        <v>156210.82588891283</v>
      </c>
      <c r="F12" s="100">
        <f>'BALANCE GENERAL'!G15</f>
        <v>153016.60588891286</v>
      </c>
      <c r="G12" s="100">
        <f>'BALANCE GENERAL'!H15</f>
        <v>158220.46179722901</v>
      </c>
      <c r="H12" s="100">
        <f>'BALANCE GENERAL'!I15</f>
        <v>160744.11470642779</v>
      </c>
      <c r="I12" s="100">
        <f>'BALANCE GENERAL'!J15</f>
        <v>159804.27861625951</v>
      </c>
      <c r="J12" s="103">
        <f>'BALANCE GENERAL'!K15</f>
        <v>158226.29124733817</v>
      </c>
    </row>
    <row r="13" spans="1:10" ht="14.25" x14ac:dyDescent="0.3">
      <c r="A13" s="102" t="s">
        <v>215</v>
      </c>
      <c r="B13" s="95" t="s">
        <v>216</v>
      </c>
      <c r="C13" s="100">
        <f>'BALANCE GENERAL'!D11</f>
        <v>32648</v>
      </c>
      <c r="D13" s="100">
        <f>'BALANCE GENERAL'!E11</f>
        <v>32648</v>
      </c>
      <c r="E13" s="100">
        <f>'BALANCE GENERAL'!F11</f>
        <v>32648</v>
      </c>
      <c r="F13" s="100">
        <f>'BALANCE GENERAL'!G11</f>
        <v>32648</v>
      </c>
      <c r="G13" s="100">
        <f>'BALANCE GENERAL'!H11</f>
        <v>32648</v>
      </c>
      <c r="H13" s="100">
        <f>'BALANCE GENERAL'!I11</f>
        <v>32648</v>
      </c>
      <c r="I13" s="100">
        <f>'BALANCE GENERAL'!J11</f>
        <v>32648</v>
      </c>
      <c r="J13" s="103">
        <f>'BALANCE GENERAL'!K11</f>
        <v>32648</v>
      </c>
    </row>
    <row r="14" spans="1:10" ht="14.25" x14ac:dyDescent="0.3">
      <c r="A14" s="102" t="s">
        <v>349</v>
      </c>
      <c r="B14" s="95" t="s">
        <v>350</v>
      </c>
      <c r="C14" s="100">
        <f>'BALANCE GENERAL'!D25</f>
        <v>72724.574353134783</v>
      </c>
      <c r="D14" s="100">
        <f>'BALANCE GENERAL'!E25</f>
        <v>58098.013903045139</v>
      </c>
      <c r="E14" s="100">
        <f>'BALANCE GENERAL'!F25</f>
        <v>63676.731206540033</v>
      </c>
      <c r="F14" s="100">
        <f>'BALANCE GENERAL'!G25</f>
        <v>58682.200961096089</v>
      </c>
      <c r="G14" s="100">
        <f>'BALANCE GENERAL'!H25</f>
        <v>53518.842909582876</v>
      </c>
      <c r="H14" s="100">
        <f>'BALANCE GENERAL'!I25</f>
        <v>47555.112599926993</v>
      </c>
      <c r="I14" s="100">
        <f>'BALANCE GENERAL'!J25</f>
        <v>40744.083469847646</v>
      </c>
      <c r="J14" s="103">
        <f>'BALANCE GENERAL'!K25</f>
        <v>33623.07759772343</v>
      </c>
    </row>
    <row r="15" spans="1:10" ht="14.25" x14ac:dyDescent="0.3">
      <c r="A15" s="102" t="s">
        <v>351</v>
      </c>
      <c r="B15" s="95" t="s">
        <v>352</v>
      </c>
      <c r="C15" s="100">
        <f>'ESTADO DE GANACIAS Y PERDIDAS'!B15+'ESTADO DE GANACIAS Y PERDIDAS'!C15+'ESTADO DE GANACIAS Y PERDIDAS'!D15</f>
        <v>82676.581177115935</v>
      </c>
      <c r="D15" s="100">
        <f>'ESTADO DE GANACIAS Y PERDIDAS'!E15+'ESTADO DE GANACIAS Y PERDIDAS'!F15+'ESTADO DE GANACIAS Y PERDIDAS'!G15</f>
        <v>48263.141748605143</v>
      </c>
      <c r="E15" s="100">
        <f>'ESTADO DE GANACIAS Y PERDIDAS'!H15+'ESTADO DE GANACIAS Y PERDIDAS'!I15+'ESTADO DE GANACIAS Y PERDIDAS'!J15</f>
        <v>82530.496737006819</v>
      </c>
      <c r="F15" s="100">
        <f>'ESTADO DE GANACIAS Y PERDIDAS'!K15+'ESTADO DE GANACIAS Y PERDIDAS'!L15+'ESTADO DE GANACIAS Y PERDIDAS'!M15</f>
        <v>83006.876523618033</v>
      </c>
      <c r="G15" s="100">
        <f>'ESTADO DE GANACIAS Y PERDIDAS'!N15+'ESTADO DE GANACIAS Y PERDIDAS'!O15+'ESTADO DE GANACIAS Y PERDIDAS'!P15</f>
        <v>84508.429578702344</v>
      </c>
      <c r="H15" s="100">
        <f>'ESTADO DE GANACIAS Y PERDIDAS'!Q15+'ESTADO DE GANACIAS Y PERDIDAS'!R15+'ESTADO DE GANACIAS Y PERDIDAS'!S15</f>
        <v>85077.251956925465</v>
      </c>
      <c r="I15" s="100">
        <f>'ESTADO DE GANACIAS Y PERDIDAS'!T15+'ESTADO DE GANACIAS Y PERDIDAS'!U15+'ESTADO DE GANACIAS Y PERDIDAS'!V15</f>
        <v>84717.819527814063</v>
      </c>
      <c r="J15" s="103">
        <f>'ESTADO DE GANACIAS Y PERDIDAS'!W15+'ESTADO DE GANACIAS Y PERDIDAS'!X15+'ESTADO DE GANACIAS Y PERDIDAS'!Y15</f>
        <v>85397.023194848443</v>
      </c>
    </row>
    <row r="16" spans="1:10" ht="14.25" x14ac:dyDescent="0.3">
      <c r="A16" s="102" t="s">
        <v>353</v>
      </c>
      <c r="B16" s="95" t="s">
        <v>354</v>
      </c>
      <c r="C16" s="100">
        <f>'ESTADO DE GANACIAS Y PERDIDAS'!B4+'ESTADO DE GANACIAS Y PERDIDAS'!C4+'ESTADO DE GANACIAS Y PERDIDAS'!D4</f>
        <v>200760</v>
      </c>
      <c r="D16" s="100">
        <f>'ESTADO DE GANACIAS Y PERDIDAS'!E4+'ESTADO DE GANACIAS Y PERDIDAS'!F4+'ESTADO DE GANACIAS Y PERDIDAS'!G4</f>
        <v>133840</v>
      </c>
      <c r="E16" s="100">
        <f>'ESTADO DE GANACIAS Y PERDIDAS'!H4+'ESTADO DE GANACIAS Y PERDIDAS'!I4+'ESTADO DE GANACIAS Y PERDIDAS'!J4</f>
        <v>200760</v>
      </c>
      <c r="F16" s="100">
        <f>'ESTADO DE GANACIAS Y PERDIDAS'!K4+'ESTADO DE GANACIAS Y PERDIDAS'!L4+'ESTADO DE GANACIAS Y PERDIDAS'!M4</f>
        <v>200760</v>
      </c>
      <c r="G16" s="100">
        <f>'ESTADO DE GANACIAS Y PERDIDAS'!N4+'ESTADO DE GANACIAS Y PERDIDAS'!O4+'ESTADO DE GANACIAS Y PERDIDAS'!P4</f>
        <v>200760</v>
      </c>
      <c r="H16" s="100">
        <f>'ESTADO DE GANACIAS Y PERDIDAS'!Q4+'ESTADO DE GANACIAS Y PERDIDAS'!R4+'ESTADO DE GANACIAS Y PERDIDAS'!S4</f>
        <v>200760</v>
      </c>
      <c r="I16" s="100">
        <f>'ESTADO DE GANACIAS Y PERDIDAS'!T4+'ESTADO DE GANACIAS Y PERDIDAS'!U4+'ESTADO DE GANACIAS Y PERDIDAS'!V4</f>
        <v>200760</v>
      </c>
      <c r="J16" s="103">
        <f>'ESTADO DE GANACIAS Y PERDIDAS'!W4+'ESTADO DE GANACIAS Y PERDIDAS'!X4+'ESTADO DE GANACIAS Y PERDIDAS'!Y4</f>
        <v>200760</v>
      </c>
    </row>
    <row r="17" spans="1:11" ht="14.25" x14ac:dyDescent="0.3">
      <c r="A17" s="102" t="s">
        <v>355</v>
      </c>
      <c r="B17" s="95" t="s">
        <v>207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3">
        <v>0</v>
      </c>
    </row>
    <row r="18" spans="1:11" ht="14.25" x14ac:dyDescent="0.3">
      <c r="A18" s="102" t="s">
        <v>356</v>
      </c>
      <c r="B18" s="95" t="s">
        <v>357</v>
      </c>
      <c r="C18" s="100">
        <f>'ESTADO DE GANACIAS Y PERDIDAS'!B5+'ESTADO DE GANACIAS Y PERDIDAS'!C5+'ESTADO DE GANACIAS Y PERDIDAS'!D5</f>
        <v>109741.79999999999</v>
      </c>
      <c r="D18" s="100">
        <f>'ESTADO DE GANACIAS Y PERDIDAS'!E5+'ESTADO DE GANACIAS Y PERDIDAS'!F5+'ESTADO DE GANACIAS Y PERDIDAS'!G5</f>
        <v>77634.2</v>
      </c>
      <c r="E18" s="100">
        <f>'ESTADO DE GANACIAS Y PERDIDAS'!H5+'ESTADO DE GANACIAS Y PERDIDAS'!I5+'ESTADO DE GANACIAS Y PERDIDAS'!J5</f>
        <v>109741.79999999999</v>
      </c>
      <c r="F18" s="100">
        <f>'ESTADO DE GANACIAS Y PERDIDAS'!K5+'ESTADO DE GANACIAS Y PERDIDAS'!L5+'ESTADO DE GANACIAS Y PERDIDAS'!M5</f>
        <v>109741.79999999999</v>
      </c>
      <c r="G18" s="100">
        <f>'ESTADO DE GANACIAS Y PERDIDAS'!N5+'ESTADO DE GANACIAS Y PERDIDAS'!O5+'ESTADO DE GANACIAS Y PERDIDAS'!P5</f>
        <v>109741.79999999999</v>
      </c>
      <c r="H18" s="100">
        <f>'ESTADO DE GANACIAS Y PERDIDAS'!Q5+'ESTADO DE GANACIAS Y PERDIDAS'!R5+'ESTADO DE GANACIAS Y PERDIDAS'!S5</f>
        <v>109741.79999999999</v>
      </c>
      <c r="I18" s="100">
        <f>'ESTADO DE GANACIAS Y PERDIDAS'!T5+'ESTADO DE GANACIAS Y PERDIDAS'!U5+'ESTADO DE GANACIAS Y PERDIDAS'!V5</f>
        <v>109741.79999999999</v>
      </c>
      <c r="J18" s="103">
        <f>'ESTADO DE GANACIAS Y PERDIDAS'!W5+'ESTADO DE GANACIAS Y PERDIDAS'!X5+'ESTADO DE GANACIAS Y PERDIDAS'!Y5</f>
        <v>109741.79999999999</v>
      </c>
    </row>
    <row r="19" spans="1:11" ht="14.25" x14ac:dyDescent="0.3">
      <c r="A19" s="102" t="s">
        <v>358</v>
      </c>
      <c r="B19" s="95" t="s">
        <v>359</v>
      </c>
      <c r="C19" s="100">
        <f>'BALANCE GENERAL'!D11</f>
        <v>32648</v>
      </c>
      <c r="D19" s="100">
        <f>'BALANCE GENERAL'!E11</f>
        <v>32648</v>
      </c>
      <c r="E19" s="100">
        <f>'BALANCE GENERAL'!F11</f>
        <v>32648</v>
      </c>
      <c r="F19" s="100">
        <f>'BALANCE GENERAL'!G11</f>
        <v>32648</v>
      </c>
      <c r="G19" s="100">
        <f>'BALANCE GENERAL'!H11</f>
        <v>32648</v>
      </c>
      <c r="H19" s="100">
        <f>'BALANCE GENERAL'!I11</f>
        <v>32648</v>
      </c>
      <c r="I19" s="100">
        <f>'BALANCE GENERAL'!J11</f>
        <v>32648</v>
      </c>
      <c r="J19" s="103">
        <f>'BALANCE GENERAL'!K11</f>
        <v>32648</v>
      </c>
    </row>
    <row r="20" spans="1:11" ht="14.25" x14ac:dyDescent="0.3">
      <c r="A20" s="102" t="s">
        <v>360</v>
      </c>
      <c r="B20" s="95" t="s">
        <v>361</v>
      </c>
      <c r="C20" s="100">
        <f>C11</f>
        <v>57873.606823981158</v>
      </c>
      <c r="D20" s="100">
        <f t="shared" ref="D20:J20" si="0">D11</f>
        <v>33784.1992240236</v>
      </c>
      <c r="E20" s="100">
        <f t="shared" si="0"/>
        <v>57771.347715904783</v>
      </c>
      <c r="F20" s="100">
        <f t="shared" si="0"/>
        <v>58104.813566532626</v>
      </c>
      <c r="G20" s="100">
        <f t="shared" si="0"/>
        <v>59155.900705091648</v>
      </c>
      <c r="H20" s="100">
        <f t="shared" si="0"/>
        <v>59554.076369847826</v>
      </c>
      <c r="I20" s="100">
        <f t="shared" si="0"/>
        <v>59302.473669469851</v>
      </c>
      <c r="J20" s="103">
        <f t="shared" si="0"/>
        <v>59777.916236393918</v>
      </c>
    </row>
    <row r="21" spans="1:11" ht="14.25" x14ac:dyDescent="0.3">
      <c r="A21" s="102" t="s">
        <v>362</v>
      </c>
      <c r="B21" s="95" t="s">
        <v>363</v>
      </c>
      <c r="C21" s="100">
        <f>'FLUJO DE CAJA ECON FINANCI'!C15+'FLUJO DE CAJA ECON FINANCI'!D15+'FLUJO DE CAJA ECON FINANCI'!E15</f>
        <v>4186.4113228840597</v>
      </c>
      <c r="D21" s="100">
        <f>'FLUJO DE CAJA ECON FINANCI'!F15+'FLUJO DE CAJA ECON FINANCI'!G15+'FLUJO DE CAJA ECON FINANCI'!H15</f>
        <v>3787.4507513948538</v>
      </c>
      <c r="E21" s="100">
        <f>'FLUJO DE CAJA ECON FINANCI'!I15+'FLUJO DE CAJA ECON FINANCI'!J15+'FLUJO DE CAJA ECON FINANCI'!K15</f>
        <v>3351.4957629931678</v>
      </c>
      <c r="F21" s="100">
        <f>'FLUJO DE CAJA ECON FINANCI'!L15</f>
        <v>1013.4041401203203</v>
      </c>
      <c r="G21" s="100">
        <v>0</v>
      </c>
      <c r="H21" s="100">
        <v>0</v>
      </c>
      <c r="I21" s="100">
        <v>0</v>
      </c>
      <c r="J21" s="103">
        <v>0</v>
      </c>
    </row>
    <row r="22" spans="1:11" ht="14.25" x14ac:dyDescent="0.3">
      <c r="A22" s="102" t="s">
        <v>364</v>
      </c>
      <c r="B22" s="95" t="s">
        <v>365</v>
      </c>
      <c r="C22" s="100">
        <f>'ESTADO DE GANACIAS Y PERDIDAS'!B10+'ESTADO DE GANACIAS Y PERDIDAS'!B11+'ESTADO DE GANACIAS Y PERDIDAS'!C10+'ESTADO DE GANACIAS Y PERDIDAS'!C11+'ESTADO DE GANACIAS Y PERDIDAS'!D10+'ESTADO DE GANACIAS Y PERDIDAS'!D11</f>
        <v>3783</v>
      </c>
      <c r="D22" s="100">
        <f>C22</f>
        <v>3783</v>
      </c>
      <c r="E22" s="100">
        <f>'ESTADO DE GANACIAS Y PERDIDAS'!H10+'ESTADO DE GANACIAS Y PERDIDAS'!H11+'ESTADO DE GANACIAS Y PERDIDAS'!I10+'ESTADO DE GANACIAS Y PERDIDAS'!I11+'ESTADO DE GANACIAS Y PERDIDAS'!J10+'ESTADO DE GANACIAS Y PERDIDAS'!J11</f>
        <v>4764</v>
      </c>
      <c r="F22" s="100">
        <f>E22</f>
        <v>4764</v>
      </c>
      <c r="G22" s="100">
        <f>C22</f>
        <v>3783</v>
      </c>
      <c r="H22" s="100">
        <f>D22</f>
        <v>3783</v>
      </c>
      <c r="I22" s="100">
        <f>E22</f>
        <v>4764</v>
      </c>
      <c r="J22" s="103">
        <f>F22</f>
        <v>4764</v>
      </c>
    </row>
    <row r="23" spans="1:11" ht="15" thickBot="1" x14ac:dyDescent="0.35">
      <c r="A23" s="104" t="s">
        <v>366</v>
      </c>
      <c r="B23" s="96" t="s">
        <v>367</v>
      </c>
      <c r="C23" s="101">
        <f>'BALANCE GENERAL'!D27</f>
        <v>23500</v>
      </c>
      <c r="D23" s="101">
        <f>'BALANCE GENERAL'!E27</f>
        <v>23500</v>
      </c>
      <c r="E23" s="101">
        <f>'BALANCE GENERAL'!F27</f>
        <v>23500</v>
      </c>
      <c r="F23" s="101">
        <f>'BALANCE GENERAL'!G27</f>
        <v>23500</v>
      </c>
      <c r="G23" s="101">
        <f>'BALANCE GENERAL'!H27</f>
        <v>23500</v>
      </c>
      <c r="H23" s="101">
        <f>'BALANCE GENERAL'!I27</f>
        <v>23500</v>
      </c>
      <c r="I23" s="101">
        <f>'BALANCE GENERAL'!J27</f>
        <v>23500</v>
      </c>
      <c r="J23" s="105">
        <f>'BALANCE GENERAL'!K27</f>
        <v>23500</v>
      </c>
    </row>
    <row r="25" spans="1:11" ht="14.25" thickBot="1" x14ac:dyDescent="0.3"/>
    <row r="26" spans="1:11" ht="27.75" thickBot="1" x14ac:dyDescent="0.3">
      <c r="B26" s="248" t="s">
        <v>368</v>
      </c>
      <c r="C26" s="249" t="s">
        <v>193</v>
      </c>
      <c r="D26" s="250" t="s">
        <v>194</v>
      </c>
      <c r="E26" s="250" t="s">
        <v>195</v>
      </c>
      <c r="F26" s="250" t="s">
        <v>196</v>
      </c>
      <c r="G26" s="250" t="s">
        <v>197</v>
      </c>
      <c r="H26" s="250" t="s">
        <v>198</v>
      </c>
      <c r="I26" s="250" t="s">
        <v>199</v>
      </c>
      <c r="J26" s="251" t="s">
        <v>200</v>
      </c>
    </row>
    <row r="27" spans="1:11" ht="14.25" x14ac:dyDescent="0.3">
      <c r="B27" s="89" t="s">
        <v>369</v>
      </c>
      <c r="C27" s="106">
        <f>C5/C6</f>
        <v>4.2313570448431959</v>
      </c>
      <c r="D27" s="90">
        <f t="shared" ref="D27:J27" si="1">D5/D6</f>
        <v>4.6504028881528852</v>
      </c>
      <c r="E27" s="121">
        <f t="shared" si="1"/>
        <v>4.0638040004270692</v>
      </c>
      <c r="F27" s="121">
        <f t="shared" si="1"/>
        <v>3.8766585859309455</v>
      </c>
      <c r="G27" s="121">
        <f t="shared" si="1"/>
        <v>3.92237749142281</v>
      </c>
      <c r="H27" s="121">
        <f t="shared" si="1"/>
        <v>3.9106844601158604</v>
      </c>
      <c r="I27" s="121">
        <f t="shared" si="1"/>
        <v>3.8206144380204017</v>
      </c>
      <c r="J27" s="122">
        <f t="shared" si="1"/>
        <v>3.673350842290755</v>
      </c>
    </row>
    <row r="28" spans="1:11" ht="14.25" x14ac:dyDescent="0.3">
      <c r="B28" s="91" t="s">
        <v>370</v>
      </c>
      <c r="C28" s="108">
        <f>(C5-C7)/C6</f>
        <v>3.1282117039796016</v>
      </c>
      <c r="D28" s="92">
        <f t="shared" ref="D28:J28" si="2">(D5-D7)/D6</f>
        <v>2.9764259687217121</v>
      </c>
      <c r="E28" s="123">
        <f t="shared" si="2"/>
        <v>2.9898488583648097</v>
      </c>
      <c r="F28" s="123">
        <f t="shared" si="2"/>
        <v>2.824498441322282</v>
      </c>
      <c r="G28" s="123">
        <f t="shared" si="2"/>
        <v>2.9026647223974202</v>
      </c>
      <c r="H28" s="123">
        <f t="shared" si="2"/>
        <v>2.9143701054441427</v>
      </c>
      <c r="I28" s="123">
        <f t="shared" si="2"/>
        <v>2.8399336393271235</v>
      </c>
      <c r="J28" s="124">
        <f t="shared" si="2"/>
        <v>2.7184233849013713</v>
      </c>
    </row>
    <row r="29" spans="1:11" ht="14.25" x14ac:dyDescent="0.3">
      <c r="B29" s="396" t="s">
        <v>371</v>
      </c>
      <c r="C29" s="108">
        <f>C8/C6</f>
        <v>2.7833284697425751</v>
      </c>
      <c r="D29" s="92">
        <f t="shared" ref="D29:J29" si="3">D8/D6</f>
        <v>2.5403043984068403</v>
      </c>
      <c r="E29" s="123">
        <f t="shared" si="3"/>
        <v>2.7100510919995009</v>
      </c>
      <c r="F29" s="123">
        <f t="shared" si="3"/>
        <v>2.6052028325654404</v>
      </c>
      <c r="G29" s="123">
        <f t="shared" si="3"/>
        <v>2.6369987332578591</v>
      </c>
      <c r="H29" s="123">
        <f t="shared" si="3"/>
        <v>2.6548001102769887</v>
      </c>
      <c r="I29" s="123">
        <f t="shared" si="3"/>
        <v>2.5333372616071097</v>
      </c>
      <c r="J29" s="124">
        <f t="shared" si="3"/>
        <v>2.4198784355038878</v>
      </c>
      <c r="K29" s="333"/>
    </row>
    <row r="30" spans="1:11" ht="15" thickBot="1" x14ac:dyDescent="0.35">
      <c r="B30" s="93" t="s">
        <v>372</v>
      </c>
      <c r="C30" s="110">
        <f>C5-C6</f>
        <v>94050.272080908326</v>
      </c>
      <c r="D30" s="94">
        <f t="shared" ref="D30:J30" si="4">D5-D6</f>
        <v>70016.303337972378</v>
      </c>
      <c r="E30" s="125">
        <f t="shared" si="4"/>
        <v>91597.301853050158</v>
      </c>
      <c r="F30" s="125">
        <f t="shared" si="4"/>
        <v>87783.788130455592</v>
      </c>
      <c r="G30" s="125">
        <f t="shared" si="4"/>
        <v>92016.625067162182</v>
      </c>
      <c r="H30" s="125">
        <f t="shared" si="4"/>
        <v>93800.8088846709</v>
      </c>
      <c r="I30" s="125">
        <f t="shared" si="4"/>
        <v>92347.234952347411</v>
      </c>
      <c r="J30" s="126">
        <f t="shared" si="4"/>
        <v>89886.282816281397</v>
      </c>
    </row>
    <row r="31" spans="1:11" ht="14.25" thickBot="1" x14ac:dyDescent="0.3"/>
    <row r="32" spans="1:11" ht="27.75" thickBot="1" x14ac:dyDescent="0.3">
      <c r="B32" s="252" t="s">
        <v>373</v>
      </c>
      <c r="C32" s="249" t="s">
        <v>193</v>
      </c>
      <c r="D32" s="250" t="s">
        <v>194</v>
      </c>
      <c r="E32" s="250" t="s">
        <v>195</v>
      </c>
      <c r="F32" s="250" t="s">
        <v>196</v>
      </c>
      <c r="G32" s="250" t="s">
        <v>197</v>
      </c>
      <c r="H32" s="250" t="s">
        <v>198</v>
      </c>
      <c r="I32" s="250" t="s">
        <v>199</v>
      </c>
      <c r="J32" s="251" t="s">
        <v>200</v>
      </c>
    </row>
    <row r="33" spans="2:11" ht="28.5" x14ac:dyDescent="0.3">
      <c r="B33" s="89" t="s">
        <v>374</v>
      </c>
      <c r="C33" s="106">
        <f>C16/C13</f>
        <v>6.1492281303602061</v>
      </c>
      <c r="D33" s="90">
        <f t="shared" ref="D33:J33" si="5">D16/D13</f>
        <v>4.0994854202401374</v>
      </c>
      <c r="E33" s="90">
        <f t="shared" si="5"/>
        <v>6.1492281303602061</v>
      </c>
      <c r="F33" s="90">
        <f t="shared" si="5"/>
        <v>6.1492281303602061</v>
      </c>
      <c r="G33" s="90">
        <f t="shared" si="5"/>
        <v>6.1492281303602061</v>
      </c>
      <c r="H33" s="90">
        <f t="shared" si="5"/>
        <v>6.1492281303602061</v>
      </c>
      <c r="I33" s="90">
        <f>I16/I13</f>
        <v>6.1492281303602061</v>
      </c>
      <c r="J33" s="107">
        <f t="shared" si="5"/>
        <v>6.1492281303602061</v>
      </c>
    </row>
    <row r="34" spans="2:11" ht="14.25" x14ac:dyDescent="0.3">
      <c r="B34" s="91" t="s">
        <v>375</v>
      </c>
      <c r="C34" s="108">
        <f t="shared" ref="C34:H34" si="6">C18/C7</f>
        <v>3.4179384320223249</v>
      </c>
      <c r="D34" s="92">
        <f t="shared" si="6"/>
        <v>2.4179384320223249</v>
      </c>
      <c r="E34" s="92">
        <f t="shared" si="6"/>
        <v>3.4179384320223249</v>
      </c>
      <c r="F34" s="92">
        <f t="shared" si="6"/>
        <v>3.4179384320223249</v>
      </c>
      <c r="G34" s="92">
        <f t="shared" si="6"/>
        <v>3.4179384320223249</v>
      </c>
      <c r="H34" s="92">
        <f t="shared" si="6"/>
        <v>3.4179384320223249</v>
      </c>
      <c r="I34" s="92">
        <f>I18/I7</f>
        <v>3.4179384320223249</v>
      </c>
      <c r="J34" s="109">
        <f>J18/J7</f>
        <v>3.4179384320223249</v>
      </c>
    </row>
    <row r="35" spans="2:11" ht="14.25" x14ac:dyDescent="0.3">
      <c r="B35" s="91" t="s">
        <v>376</v>
      </c>
      <c r="C35" s="108">
        <f t="shared" ref="C35:H35" si="7">C8/C16*360</f>
        <v>145.26630314808045</v>
      </c>
      <c r="D35" s="92">
        <f t="shared" si="7"/>
        <v>131.05714748960423</v>
      </c>
      <c r="E35" s="92">
        <f t="shared" si="7"/>
        <v>145.28624337521731</v>
      </c>
      <c r="F35" s="92">
        <f t="shared" si="7"/>
        <v>142.55841313014858</v>
      </c>
      <c r="G35" s="92">
        <f t="shared" si="7"/>
        <v>148.88989413729058</v>
      </c>
      <c r="H35" s="92">
        <f t="shared" si="7"/>
        <v>153.41527293441925</v>
      </c>
      <c r="I35" s="92">
        <f>I8/I16*360</f>
        <v>148.72997211522923</v>
      </c>
      <c r="J35" s="109">
        <f>J8/J16*360</f>
        <v>145.90034742499375</v>
      </c>
    </row>
    <row r="36" spans="2:11" ht="14.25" x14ac:dyDescent="0.3">
      <c r="B36" s="91" t="s">
        <v>377</v>
      </c>
      <c r="C36" s="108">
        <f>C16/C12</f>
        <v>1.2716574335608386</v>
      </c>
      <c r="D36" s="92">
        <f t="shared" ref="D36:J36" si="8">D16/D12</f>
        <v>1.080106855364815</v>
      </c>
      <c r="E36" s="92">
        <f t="shared" si="8"/>
        <v>1.28518621457624</v>
      </c>
      <c r="F36" s="92">
        <f t="shared" si="8"/>
        <v>1.3120144629645487</v>
      </c>
      <c r="G36" s="92">
        <f t="shared" si="8"/>
        <v>1.2688624323274222</v>
      </c>
      <c r="H36" s="92">
        <f t="shared" si="8"/>
        <v>1.2489415265165666</v>
      </c>
      <c r="I36" s="92">
        <f t="shared" si="8"/>
        <v>1.2562867636484758</v>
      </c>
      <c r="J36" s="109">
        <f t="shared" si="8"/>
        <v>1.2688156842795073</v>
      </c>
    </row>
    <row r="37" spans="2:11" ht="15" thickBot="1" x14ac:dyDescent="0.35">
      <c r="B37" s="397" t="s">
        <v>378</v>
      </c>
      <c r="C37" s="111">
        <f>C16/C13</f>
        <v>6.1492281303602061</v>
      </c>
      <c r="D37" s="97">
        <f t="shared" ref="D37:J37" si="9">D16/D13</f>
        <v>4.0994854202401374</v>
      </c>
      <c r="E37" s="97">
        <f t="shared" si="9"/>
        <v>6.1492281303602061</v>
      </c>
      <c r="F37" s="97">
        <f t="shared" si="9"/>
        <v>6.1492281303602061</v>
      </c>
      <c r="G37" s="97">
        <f t="shared" si="9"/>
        <v>6.1492281303602061</v>
      </c>
      <c r="H37" s="97">
        <f t="shared" si="9"/>
        <v>6.1492281303602061</v>
      </c>
      <c r="I37" s="97">
        <f t="shared" si="9"/>
        <v>6.1492281303602061</v>
      </c>
      <c r="J37" s="112">
        <f t="shared" si="9"/>
        <v>6.1492281303602061</v>
      </c>
      <c r="K37" s="333"/>
    </row>
    <row r="38" spans="2:11" ht="14.25" thickBot="1" x14ac:dyDescent="0.3">
      <c r="C38" s="98"/>
      <c r="D38" s="98"/>
      <c r="E38" s="98"/>
      <c r="F38" s="98"/>
      <c r="G38" s="98"/>
      <c r="H38" s="98"/>
      <c r="I38" s="98"/>
      <c r="J38" s="98"/>
    </row>
    <row r="39" spans="2:11" ht="27.75" thickBot="1" x14ac:dyDescent="0.35">
      <c r="B39" s="253" t="s">
        <v>379</v>
      </c>
      <c r="C39" s="249" t="s">
        <v>193</v>
      </c>
      <c r="D39" s="250" t="s">
        <v>194</v>
      </c>
      <c r="E39" s="250" t="s">
        <v>195</v>
      </c>
      <c r="F39" s="250" t="s">
        <v>196</v>
      </c>
      <c r="G39" s="250" t="s">
        <v>197</v>
      </c>
      <c r="H39" s="250" t="s">
        <v>198</v>
      </c>
      <c r="I39" s="250" t="s">
        <v>199</v>
      </c>
      <c r="J39" s="251" t="s">
        <v>200</v>
      </c>
    </row>
    <row r="40" spans="2:11" ht="28.5" x14ac:dyDescent="0.3">
      <c r="B40" s="398" t="s">
        <v>380</v>
      </c>
      <c r="C40" s="106">
        <f>C14/C9</f>
        <v>0.89371206699052863</v>
      </c>
      <c r="D40" s="90">
        <f t="shared" ref="D40:J40" si="10">D14/D9</f>
        <v>0.50450782189117394</v>
      </c>
      <c r="E40" s="90">
        <f t="shared" si="10"/>
        <v>0.36822438449837269</v>
      </c>
      <c r="F40" s="90">
        <f t="shared" si="10"/>
        <v>0.25399815290867767</v>
      </c>
      <c r="G40" s="90">
        <f t="shared" si="10"/>
        <v>0.18442698662046147</v>
      </c>
      <c r="H40" s="90">
        <f t="shared" si="10"/>
        <v>0.13597122512236196</v>
      </c>
      <c r="I40" s="90">
        <f t="shared" si="10"/>
        <v>9.9607481374868995E-2</v>
      </c>
      <c r="J40" s="107">
        <f t="shared" si="10"/>
        <v>7.1717859200119027E-2</v>
      </c>
      <c r="K40" s="333"/>
    </row>
    <row r="41" spans="2:11" ht="15" thickBot="1" x14ac:dyDescent="0.35">
      <c r="B41" s="397" t="s">
        <v>381</v>
      </c>
      <c r="C41" s="111">
        <f>C14/C12</f>
        <v>0.46065324556042919</v>
      </c>
      <c r="D41" s="97">
        <f t="shared" ref="D41:J41" si="11">D14/D12</f>
        <v>0.46885880977106531</v>
      </c>
      <c r="E41" s="97">
        <f t="shared" si="11"/>
        <v>0.407633279218579</v>
      </c>
      <c r="F41" s="97">
        <f t="shared" si="11"/>
        <v>0.38350217363792688</v>
      </c>
      <c r="G41" s="97">
        <f t="shared" si="11"/>
        <v>0.33825487741384014</v>
      </c>
      <c r="H41" s="97">
        <f t="shared" si="11"/>
        <v>0.29584356905867715</v>
      </c>
      <c r="I41" s="97">
        <f t="shared" si="11"/>
        <v>0.25496240665550041</v>
      </c>
      <c r="J41" s="112">
        <f t="shared" si="11"/>
        <v>0.21249994127185906</v>
      </c>
    </row>
    <row r="42" spans="2:11" ht="14.25" thickBot="1" x14ac:dyDescent="0.3">
      <c r="C42" s="99"/>
      <c r="D42" s="99"/>
      <c r="E42" s="99"/>
      <c r="F42" s="99"/>
      <c r="G42" s="99"/>
      <c r="H42" s="99"/>
      <c r="I42" s="99"/>
      <c r="J42" s="99"/>
    </row>
    <row r="43" spans="2:11" ht="27.75" thickBot="1" x14ac:dyDescent="0.3">
      <c r="B43" s="252" t="s">
        <v>382</v>
      </c>
      <c r="C43" s="249" t="s">
        <v>193</v>
      </c>
      <c r="D43" s="250" t="s">
        <v>194</v>
      </c>
      <c r="E43" s="250" t="s">
        <v>195</v>
      </c>
      <c r="F43" s="250" t="s">
        <v>196</v>
      </c>
      <c r="G43" s="250" t="s">
        <v>197</v>
      </c>
      <c r="H43" s="250" t="s">
        <v>198</v>
      </c>
      <c r="I43" s="250" t="s">
        <v>199</v>
      </c>
      <c r="J43" s="251" t="s">
        <v>200</v>
      </c>
    </row>
    <row r="44" spans="2:11" ht="14.25" x14ac:dyDescent="0.3">
      <c r="B44" s="399" t="s">
        <v>383</v>
      </c>
      <c r="C44" s="106">
        <f t="shared" ref="C44:H44" si="12">C11/C12*100</f>
        <v>36.658399245214646</v>
      </c>
      <c r="D44" s="90">
        <f t="shared" si="12"/>
        <v>27.264304531439443</v>
      </c>
      <c r="E44" s="90">
        <f t="shared" si="12"/>
        <v>36.982934689166861</v>
      </c>
      <c r="F44" s="90">
        <f t="shared" si="12"/>
        <v>37.972880936017894</v>
      </c>
      <c r="G44" s="90">
        <f t="shared" si="12"/>
        <v>37.388274584171185</v>
      </c>
      <c r="H44" s="90">
        <f t="shared" si="12"/>
        <v>37.048993351086835</v>
      </c>
      <c r="I44" s="90">
        <f>I11/I12</f>
        <v>0.37109440487431378</v>
      </c>
      <c r="J44" s="107">
        <f>J11/J12</f>
        <v>0.37780014790936051</v>
      </c>
      <c r="K44" s="333"/>
    </row>
    <row r="45" spans="2:11" ht="14.25" x14ac:dyDescent="0.3">
      <c r="B45" s="400" t="s">
        <v>384</v>
      </c>
      <c r="C45" s="108">
        <f>C11/C9</f>
        <v>0.71120857342808053</v>
      </c>
      <c r="D45" s="92">
        <f t="shared" ref="D45:J45" si="13">D11/D9</f>
        <v>0.29337307112242395</v>
      </c>
      <c r="E45" s="92">
        <f t="shared" si="13"/>
        <v>0.33407523519589277</v>
      </c>
      <c r="F45" s="92">
        <f t="shared" si="13"/>
        <v>0.25149900786418455</v>
      </c>
      <c r="G45" s="92">
        <f t="shared" si="13"/>
        <v>0.20385239879515019</v>
      </c>
      <c r="H45" s="92">
        <f t="shared" si="13"/>
        <v>0.17027907794400526</v>
      </c>
      <c r="I45" s="92">
        <f t="shared" si="13"/>
        <v>0.14497736943541228</v>
      </c>
      <c r="J45" s="109">
        <f t="shared" si="13"/>
        <v>0.12750600141994392</v>
      </c>
      <c r="K45" s="333"/>
    </row>
    <row r="46" spans="2:11" ht="28.5" x14ac:dyDescent="0.3">
      <c r="B46" s="400" t="s">
        <v>385</v>
      </c>
      <c r="C46" s="108">
        <f>C11/C23</f>
        <v>2.4627066733609002</v>
      </c>
      <c r="D46" s="92">
        <f t="shared" ref="D46:J46" si="14">D11/D23</f>
        <v>1.4376254988946213</v>
      </c>
      <c r="E46" s="92">
        <f t="shared" si="14"/>
        <v>2.4583552219533948</v>
      </c>
      <c r="F46" s="92">
        <f t="shared" si="14"/>
        <v>2.4725452581503244</v>
      </c>
      <c r="G46" s="92">
        <f t="shared" si="14"/>
        <v>2.5172723704294317</v>
      </c>
      <c r="H46" s="92">
        <f t="shared" si="14"/>
        <v>2.5342160157382052</v>
      </c>
      <c r="I46" s="92">
        <f t="shared" si="14"/>
        <v>2.5235095178497811</v>
      </c>
      <c r="J46" s="109">
        <f t="shared" si="14"/>
        <v>2.5437411164422943</v>
      </c>
      <c r="K46" s="333"/>
    </row>
    <row r="47" spans="2:11" ht="14.25" x14ac:dyDescent="0.3">
      <c r="B47" s="400" t="s">
        <v>386</v>
      </c>
      <c r="C47" s="108">
        <f t="shared" ref="C47:J47" si="15">C11/C16</f>
        <v>0.28827259824656881</v>
      </c>
      <c r="D47" s="92">
        <f t="shared" si="15"/>
        <v>0.25242228948015244</v>
      </c>
      <c r="E47" s="92">
        <f t="shared" si="15"/>
        <v>0.2877632382740824</v>
      </c>
      <c r="F47" s="123">
        <f t="shared" si="15"/>
        <v>0.28942425566115076</v>
      </c>
      <c r="G47" s="123">
        <f t="shared" si="15"/>
        <v>0.29465979629952005</v>
      </c>
      <c r="H47" s="123">
        <f t="shared" si="15"/>
        <v>0.29664313792512365</v>
      </c>
      <c r="I47" s="123">
        <f t="shared" si="15"/>
        <v>0.29538988677759442</v>
      </c>
      <c r="J47" s="124">
        <f t="shared" si="15"/>
        <v>0.29775810040044787</v>
      </c>
    </row>
    <row r="48" spans="2:11" ht="15" thickBot="1" x14ac:dyDescent="0.35">
      <c r="B48" s="401" t="s">
        <v>387</v>
      </c>
      <c r="C48" s="111">
        <f t="shared" ref="C48:H48" si="16">(C16-C18)/C16</f>
        <v>0.45336820083682017</v>
      </c>
      <c r="D48" s="97">
        <f t="shared" si="16"/>
        <v>0.41994769874476989</v>
      </c>
      <c r="E48" s="97">
        <f t="shared" si="16"/>
        <v>0.45336820083682017</v>
      </c>
      <c r="F48" s="127">
        <f t="shared" si="16"/>
        <v>0.45336820083682017</v>
      </c>
      <c r="G48" s="127">
        <f t="shared" si="16"/>
        <v>0.45336820083682017</v>
      </c>
      <c r="H48" s="127">
        <f t="shared" si="16"/>
        <v>0.45336820083682017</v>
      </c>
      <c r="I48" s="127">
        <f>(I16-I18)/I16</f>
        <v>0.45336820083682017</v>
      </c>
      <c r="J48" s="128">
        <f>(J16-J18)/J16</f>
        <v>0.45336820083682017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0" zoomScaleNormal="90"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8"/>
  <sheetViews>
    <sheetView workbookViewId="0">
      <selection activeCell="L17" sqref="L17"/>
    </sheetView>
  </sheetViews>
  <sheetFormatPr baseColWidth="10" defaultColWidth="9.140625" defaultRowHeight="14.25" customHeight="1" x14ac:dyDescent="0.25"/>
  <cols>
    <col min="1" max="2" width="11.42578125" customWidth="1"/>
    <col min="3" max="3" width="28" customWidth="1"/>
    <col min="4" max="4" width="11.42578125" customWidth="1"/>
    <col min="5" max="5" width="13" bestFit="1" customWidth="1"/>
    <col min="6" max="6" width="12.28515625" bestFit="1" customWidth="1"/>
    <col min="7" max="256" width="11.42578125" customWidth="1"/>
  </cols>
  <sheetData>
    <row r="2" spans="3:11" ht="14.25" customHeight="1" x14ac:dyDescent="0.25">
      <c r="C2" t="s">
        <v>388</v>
      </c>
    </row>
    <row r="4" spans="3:11" ht="14.25" customHeight="1" x14ac:dyDescent="0.3">
      <c r="C4" s="342"/>
      <c r="D4" s="420" t="s">
        <v>389</v>
      </c>
      <c r="E4" s="420"/>
      <c r="F4" s="420"/>
      <c r="G4" s="420"/>
      <c r="H4" s="29"/>
      <c r="I4" s="29"/>
      <c r="J4" s="29"/>
      <c r="K4" s="29"/>
    </row>
    <row r="5" spans="3:11" ht="14.25" customHeight="1" x14ac:dyDescent="0.25">
      <c r="C5" s="29"/>
      <c r="D5" s="29"/>
      <c r="E5" s="29"/>
      <c r="F5" s="29"/>
      <c r="G5" s="29"/>
      <c r="H5" s="29"/>
      <c r="I5" s="29"/>
      <c r="J5" s="29"/>
      <c r="K5" s="29"/>
    </row>
    <row r="6" spans="3:11" ht="14.25" customHeight="1" x14ac:dyDescent="0.3">
      <c r="C6" s="29"/>
      <c r="D6" s="420" t="s">
        <v>390</v>
      </c>
      <c r="E6" s="420"/>
      <c r="F6" s="420"/>
      <c r="G6" s="420"/>
      <c r="H6" s="29"/>
      <c r="I6" s="29"/>
      <c r="J6" s="29"/>
      <c r="K6" s="29"/>
    </row>
    <row r="7" spans="3:11" ht="14.25" customHeight="1" x14ac:dyDescent="0.25">
      <c r="C7" s="29"/>
      <c r="D7" s="29"/>
      <c r="E7" s="29"/>
      <c r="F7" s="29"/>
      <c r="G7" s="29"/>
      <c r="H7" s="29"/>
      <c r="I7" s="29"/>
      <c r="J7" s="29"/>
      <c r="K7" s="29"/>
    </row>
    <row r="8" spans="3:11" ht="14.25" customHeight="1" x14ac:dyDescent="0.3">
      <c r="C8" s="29"/>
      <c r="D8" s="29"/>
      <c r="E8" s="343" t="s">
        <v>391</v>
      </c>
      <c r="F8" s="343" t="s">
        <v>392</v>
      </c>
      <c r="G8" s="29"/>
      <c r="H8" s="29"/>
      <c r="I8" s="29"/>
      <c r="J8" s="29"/>
      <c r="K8" s="29"/>
    </row>
    <row r="9" spans="3:11" ht="14.25" customHeight="1" x14ac:dyDescent="0.25">
      <c r="C9" s="29"/>
      <c r="D9" s="29"/>
      <c r="E9" s="344" t="s">
        <v>393</v>
      </c>
      <c r="F9" s="345">
        <v>5</v>
      </c>
      <c r="G9" s="29"/>
      <c r="H9" s="29"/>
      <c r="I9" s="29"/>
      <c r="J9" s="29"/>
      <c r="K9" s="29"/>
    </row>
    <row r="10" spans="3:11" ht="14.25" customHeight="1" x14ac:dyDescent="0.25">
      <c r="C10" s="29"/>
      <c r="D10" s="29"/>
      <c r="E10" s="344" t="s">
        <v>394</v>
      </c>
      <c r="F10" s="345">
        <v>4</v>
      </c>
      <c r="G10" s="29"/>
      <c r="H10" s="29"/>
      <c r="I10" s="29"/>
      <c r="J10" s="29"/>
      <c r="K10" s="29"/>
    </row>
    <row r="11" spans="3:11" ht="14.25" customHeight="1" x14ac:dyDescent="0.25">
      <c r="C11" s="29"/>
      <c r="D11" s="29"/>
      <c r="E11" s="344" t="s">
        <v>395</v>
      </c>
      <c r="F11" s="345">
        <v>3</v>
      </c>
      <c r="G11" s="29"/>
      <c r="H11" s="29"/>
      <c r="I11" s="29"/>
      <c r="J11" s="29"/>
      <c r="K11" s="29"/>
    </row>
    <row r="12" spans="3:11" ht="14.25" customHeight="1" x14ac:dyDescent="0.25">
      <c r="C12" s="29"/>
      <c r="D12" s="29"/>
      <c r="E12" s="344" t="s">
        <v>396</v>
      </c>
      <c r="F12" s="345">
        <v>2</v>
      </c>
      <c r="G12" s="29"/>
      <c r="H12" s="29"/>
      <c r="I12" s="29"/>
      <c r="J12" s="29"/>
      <c r="K12" s="29"/>
    </row>
    <row r="13" spans="3:11" ht="14.25" customHeight="1" x14ac:dyDescent="0.25">
      <c r="C13" s="29"/>
      <c r="D13" s="29"/>
      <c r="E13" s="344" t="s">
        <v>397</v>
      </c>
      <c r="F13" s="345">
        <v>1</v>
      </c>
      <c r="G13" s="29"/>
      <c r="H13" s="29"/>
      <c r="I13" s="29"/>
      <c r="J13" s="29"/>
      <c r="K13" s="29"/>
    </row>
    <row r="14" spans="3:11" ht="14.25" customHeight="1" x14ac:dyDescent="0.25">
      <c r="C14" s="29"/>
      <c r="D14" s="29"/>
      <c r="E14" s="29"/>
      <c r="F14" s="29"/>
      <c r="G14" s="29"/>
      <c r="H14" s="29"/>
      <c r="I14" s="29"/>
      <c r="J14" s="29"/>
      <c r="K14" s="29"/>
    </row>
    <row r="15" spans="3:11" ht="14.25" customHeight="1" x14ac:dyDescent="0.25">
      <c r="C15" s="418" t="s">
        <v>398</v>
      </c>
      <c r="D15" s="418" t="s">
        <v>399</v>
      </c>
      <c r="E15" s="418" t="s">
        <v>400</v>
      </c>
      <c r="F15" s="418"/>
      <c r="G15" s="418" t="s">
        <v>401</v>
      </c>
      <c r="H15" s="418"/>
      <c r="I15" s="418" t="s">
        <v>402</v>
      </c>
      <c r="J15" s="418"/>
      <c r="K15" s="29"/>
    </row>
    <row r="16" spans="3:11" ht="14.25" customHeight="1" x14ac:dyDescent="0.3">
      <c r="C16" s="418"/>
      <c r="D16" s="418"/>
      <c r="E16" s="346" t="s">
        <v>403</v>
      </c>
      <c r="F16" s="346" t="s">
        <v>404</v>
      </c>
      <c r="G16" s="346" t="s">
        <v>403</v>
      </c>
      <c r="H16" s="346" t="s">
        <v>404</v>
      </c>
      <c r="I16" s="346" t="s">
        <v>403</v>
      </c>
      <c r="J16" s="346" t="s">
        <v>404</v>
      </c>
      <c r="K16" s="29"/>
    </row>
    <row r="17" spans="3:11" ht="14.25" customHeight="1" x14ac:dyDescent="0.25">
      <c r="C17" s="347" t="s">
        <v>405</v>
      </c>
      <c r="D17" s="348">
        <v>40</v>
      </c>
      <c r="E17" s="345">
        <v>5</v>
      </c>
      <c r="F17" s="345">
        <v>3</v>
      </c>
      <c r="G17" s="345">
        <v>4</v>
      </c>
      <c r="H17" s="345">
        <v>3</v>
      </c>
      <c r="I17" s="345">
        <v>2</v>
      </c>
      <c r="J17" s="345">
        <f>(D17*(I17/100))</f>
        <v>0.8</v>
      </c>
      <c r="K17" s="29"/>
    </row>
    <row r="18" spans="3:11" ht="14.25" customHeight="1" x14ac:dyDescent="0.25">
      <c r="C18" s="347" t="s">
        <v>406</v>
      </c>
      <c r="D18" s="348">
        <v>10</v>
      </c>
      <c r="E18" s="345">
        <v>3</v>
      </c>
      <c r="F18" s="345">
        <f>(D18*(E18/100))</f>
        <v>0.3</v>
      </c>
      <c r="G18" s="345">
        <v>3</v>
      </c>
      <c r="H18" s="345">
        <f>(D18*(G18/100))</f>
        <v>0.3</v>
      </c>
      <c r="I18" s="345">
        <v>2</v>
      </c>
      <c r="J18" s="345">
        <f>(D18*(I18/100))</f>
        <v>0.2</v>
      </c>
      <c r="K18" s="29"/>
    </row>
    <row r="19" spans="3:11" ht="14.25" customHeight="1" x14ac:dyDescent="0.25">
      <c r="C19" s="347" t="s">
        <v>407</v>
      </c>
      <c r="D19" s="348">
        <v>25</v>
      </c>
      <c r="E19" s="345">
        <v>5</v>
      </c>
      <c r="F19" s="345">
        <f>(D19*(E19/100))</f>
        <v>1.25</v>
      </c>
      <c r="G19" s="345">
        <v>2</v>
      </c>
      <c r="H19" s="345">
        <f>(D19*(G19/100))</f>
        <v>0.5</v>
      </c>
      <c r="I19" s="345">
        <v>4</v>
      </c>
      <c r="J19" s="345">
        <f>(D19*(I19/100))</f>
        <v>1</v>
      </c>
      <c r="K19" s="29"/>
    </row>
    <row r="20" spans="3:11" ht="14.25" customHeight="1" x14ac:dyDescent="0.25">
      <c r="C20" s="347" t="s">
        <v>408</v>
      </c>
      <c r="D20" s="348">
        <v>10</v>
      </c>
      <c r="E20" s="345">
        <v>2</v>
      </c>
      <c r="F20" s="345">
        <f>(D20*(E20/100))</f>
        <v>0.2</v>
      </c>
      <c r="G20" s="345">
        <v>4</v>
      </c>
      <c r="H20" s="345">
        <f>(D20*(G20/100))</f>
        <v>0.4</v>
      </c>
      <c r="I20" s="345">
        <v>5</v>
      </c>
      <c r="J20" s="345">
        <f>(D20*(I20/100))</f>
        <v>0.5</v>
      </c>
      <c r="K20" s="29"/>
    </row>
    <row r="21" spans="3:11" ht="14.25" customHeight="1" x14ac:dyDescent="0.25">
      <c r="C21" s="347" t="s">
        <v>409</v>
      </c>
      <c r="D21" s="348">
        <v>15</v>
      </c>
      <c r="E21" s="345">
        <v>4</v>
      </c>
      <c r="F21" s="345">
        <f>(D21*(E21/100))</f>
        <v>0.6</v>
      </c>
      <c r="G21" s="345">
        <v>5</v>
      </c>
      <c r="H21" s="345">
        <f>(D21*(G21/100))</f>
        <v>0.75</v>
      </c>
      <c r="I21" s="345">
        <v>3</v>
      </c>
      <c r="J21" s="345">
        <f>(D21*(I21/100))</f>
        <v>0.44999999999999996</v>
      </c>
      <c r="K21" s="29"/>
    </row>
    <row r="22" spans="3:11" ht="14.25" customHeight="1" x14ac:dyDescent="0.3">
      <c r="C22" s="345" t="s">
        <v>410</v>
      </c>
      <c r="D22" s="348">
        <f t="shared" ref="D22:J22" si="0">SUM(D17:D21)</f>
        <v>100</v>
      </c>
      <c r="E22" s="345">
        <f t="shared" si="0"/>
        <v>19</v>
      </c>
      <c r="F22" s="349">
        <f t="shared" si="0"/>
        <v>5.35</v>
      </c>
      <c r="G22" s="350">
        <f t="shared" si="0"/>
        <v>18</v>
      </c>
      <c r="H22" s="349">
        <f t="shared" si="0"/>
        <v>4.95</v>
      </c>
      <c r="I22" s="350">
        <f t="shared" si="0"/>
        <v>16</v>
      </c>
      <c r="J22" s="349">
        <f t="shared" si="0"/>
        <v>2.95</v>
      </c>
      <c r="K22" s="351"/>
    </row>
    <row r="23" spans="3:11" ht="14.25" customHeight="1" x14ac:dyDescent="0.25">
      <c r="C23" s="352"/>
      <c r="D23" s="352"/>
      <c r="E23" s="352"/>
      <c r="F23" s="352"/>
      <c r="G23" s="352"/>
      <c r="H23" s="352"/>
      <c r="I23" s="352"/>
      <c r="J23" s="352"/>
      <c r="K23" s="351"/>
    </row>
    <row r="24" spans="3:11" ht="14.25" customHeight="1" x14ac:dyDescent="0.3">
      <c r="C24" s="353" t="s">
        <v>411</v>
      </c>
      <c r="D24" s="352"/>
      <c r="E24" s="352"/>
      <c r="F24" s="352"/>
      <c r="G24" s="352"/>
      <c r="H24" s="352"/>
      <c r="I24" s="352"/>
      <c r="J24" s="352"/>
      <c r="K24" s="351"/>
    </row>
    <row r="25" spans="3:11" ht="14.25" customHeight="1" x14ac:dyDescent="0.25">
      <c r="C25" s="352"/>
      <c r="D25" s="352"/>
      <c r="E25" s="352"/>
      <c r="F25" s="352"/>
      <c r="G25" s="352"/>
      <c r="H25" s="352"/>
      <c r="I25" s="352"/>
      <c r="J25" s="352"/>
      <c r="K25" s="351"/>
    </row>
    <row r="26" spans="3:11" ht="14.25" customHeight="1" x14ac:dyDescent="0.25">
      <c r="C26" s="419" t="s">
        <v>412</v>
      </c>
      <c r="D26" s="419"/>
      <c r="E26" s="419"/>
      <c r="F26" s="419"/>
      <c r="G26" s="419"/>
      <c r="H26" s="419"/>
      <c r="I26" s="419"/>
      <c r="J26" s="419"/>
      <c r="K26" s="351"/>
    </row>
    <row r="27" spans="3:11" ht="14.25" customHeight="1" x14ac:dyDescent="0.25">
      <c r="C27" s="419"/>
      <c r="D27" s="419"/>
      <c r="E27" s="419"/>
      <c r="F27" s="419"/>
      <c r="G27" s="419"/>
      <c r="H27" s="419"/>
      <c r="I27" s="419"/>
      <c r="J27" s="419"/>
      <c r="K27" s="351"/>
    </row>
    <row r="28" spans="3:11" ht="14.25" customHeight="1" x14ac:dyDescent="0.25">
      <c r="C28" s="419"/>
      <c r="D28" s="419"/>
      <c r="E28" s="419"/>
      <c r="F28" s="419"/>
      <c r="G28" s="419"/>
      <c r="H28" s="419"/>
      <c r="I28" s="419"/>
      <c r="J28" s="419"/>
      <c r="K28" s="351"/>
    </row>
  </sheetData>
  <mergeCells count="8">
    <mergeCell ref="I15:J15"/>
    <mergeCell ref="C26:J28"/>
    <mergeCell ref="D4:G4"/>
    <mergeCell ref="D6:G6"/>
    <mergeCell ref="C15:C16"/>
    <mergeCell ref="D15:D16"/>
    <mergeCell ref="E15:F15"/>
    <mergeCell ref="G1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E1"/>
    </sheetView>
  </sheetViews>
  <sheetFormatPr baseColWidth="10" defaultColWidth="11.42578125" defaultRowHeight="13.5" x14ac:dyDescent="0.25"/>
  <cols>
    <col min="1" max="1" width="19.85546875" style="28" customWidth="1"/>
    <col min="2" max="2" width="12.7109375" style="28" customWidth="1"/>
    <col min="3" max="3" width="14.42578125" style="28" customWidth="1"/>
    <col min="4" max="4" width="13.85546875" style="28" customWidth="1"/>
    <col min="5" max="16384" width="11.42578125" style="28"/>
  </cols>
  <sheetData>
    <row r="1" spans="1:5" ht="14.25" x14ac:dyDescent="0.3">
      <c r="A1" s="406" t="s">
        <v>61</v>
      </c>
      <c r="B1" s="406"/>
      <c r="C1" s="406"/>
      <c r="D1" s="406"/>
      <c r="E1" s="406"/>
    </row>
    <row r="3" spans="1:5" ht="14.25" x14ac:dyDescent="0.3">
      <c r="A3" s="408" t="s">
        <v>62</v>
      </c>
      <c r="B3" s="407" t="s">
        <v>63</v>
      </c>
      <c r="C3" s="407"/>
      <c r="D3" s="407"/>
      <c r="E3" s="407"/>
    </row>
    <row r="4" spans="1:5" ht="28.5" x14ac:dyDescent="0.25">
      <c r="A4" s="408"/>
      <c r="B4" s="392" t="s">
        <v>64</v>
      </c>
      <c r="C4" s="392" t="s">
        <v>65</v>
      </c>
      <c r="D4" s="392" t="s">
        <v>66</v>
      </c>
      <c r="E4" s="392" t="s">
        <v>67</v>
      </c>
    </row>
    <row r="5" spans="1:5" x14ac:dyDescent="0.25">
      <c r="A5" s="27" t="s">
        <v>68</v>
      </c>
      <c r="B5" s="49">
        <v>12000</v>
      </c>
      <c r="C5" s="49">
        <v>11500</v>
      </c>
      <c r="D5" s="49">
        <f>SUM(B5:C5)</f>
        <v>23500</v>
      </c>
      <c r="E5" s="50">
        <f>(D5*E6)/D6</f>
        <v>0.32903211353428097</v>
      </c>
    </row>
    <row r="6" spans="1:5" x14ac:dyDescent="0.25">
      <c r="A6" s="27" t="s">
        <v>69</v>
      </c>
      <c r="B6" s="49">
        <f>+B7-B5</f>
        <v>22841</v>
      </c>
      <c r="C6" s="49">
        <f>+C7-C5</f>
        <v>25080.6</v>
      </c>
      <c r="D6" s="49">
        <f>SUM(B6:C6)</f>
        <v>47921.599999999999</v>
      </c>
      <c r="E6" s="50">
        <f>(D6*E7)/D7</f>
        <v>0.67096788646571903</v>
      </c>
    </row>
    <row r="7" spans="1:5" ht="20.25" customHeight="1" x14ac:dyDescent="0.3">
      <c r="A7" s="173" t="s">
        <v>66</v>
      </c>
      <c r="B7" s="174">
        <f>'INVERSION TOTAL'!E49</f>
        <v>34841</v>
      </c>
      <c r="C7" s="174">
        <f>'INVERSION TOTAL'!E56</f>
        <v>36580.6</v>
      </c>
      <c r="D7" s="174">
        <f>SUM(B7:C7)</f>
        <v>71421.600000000006</v>
      </c>
      <c r="E7" s="175">
        <v>1</v>
      </c>
    </row>
    <row r="8" spans="1:5" x14ac:dyDescent="0.25">
      <c r="A8" s="28" t="s">
        <v>60</v>
      </c>
    </row>
    <row r="9" spans="1:5" x14ac:dyDescent="0.25">
      <c r="D9" s="306"/>
    </row>
    <row r="15" spans="1:5" x14ac:dyDescent="0.25">
      <c r="E15" s="325"/>
    </row>
  </sheetData>
  <mergeCells count="3">
    <mergeCell ref="A1:E1"/>
    <mergeCell ref="B3:E3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workbookViewId="0"/>
  </sheetViews>
  <sheetFormatPr baseColWidth="10" defaultColWidth="11.42578125" defaultRowHeight="12.75" x14ac:dyDescent="0.25"/>
  <cols>
    <col min="1" max="1" width="11.42578125" style="29"/>
    <col min="2" max="2" width="12.28515625" style="29" customWidth="1"/>
    <col min="3" max="6" width="11.42578125" style="29"/>
    <col min="7" max="7" width="14.5703125" style="29" customWidth="1"/>
    <col min="8" max="8" width="12.7109375" style="29" customWidth="1"/>
    <col min="9" max="16384" width="11.42578125" style="29"/>
  </cols>
  <sheetData>
    <row r="2" spans="2:6" ht="13.5" x14ac:dyDescent="0.3">
      <c r="B2" s="409" t="s">
        <v>69</v>
      </c>
      <c r="C2" s="409"/>
      <c r="D2" s="67"/>
      <c r="E2" s="62"/>
      <c r="F2" s="62"/>
    </row>
    <row r="3" spans="2:6" ht="13.5" x14ac:dyDescent="0.3">
      <c r="B3" s="73" t="s">
        <v>70</v>
      </c>
      <c r="C3" s="177">
        <f>+FINANCIAMIENTO!D6</f>
        <v>47921.599999999999</v>
      </c>
      <c r="D3" s="68"/>
      <c r="E3" s="63"/>
      <c r="F3" s="63"/>
    </row>
    <row r="4" spans="2:6" ht="13.5" x14ac:dyDescent="0.3">
      <c r="B4" s="73" t="s">
        <v>71</v>
      </c>
      <c r="C4" s="323">
        <v>0.13</v>
      </c>
      <c r="D4" s="69"/>
      <c r="E4" s="63"/>
      <c r="F4" s="63"/>
    </row>
    <row r="5" spans="2:6" ht="13.5" x14ac:dyDescent="0.3">
      <c r="B5" s="73" t="s">
        <v>72</v>
      </c>
      <c r="C5" s="74">
        <v>24</v>
      </c>
      <c r="D5" s="69"/>
      <c r="E5" s="64"/>
      <c r="F5" s="63"/>
    </row>
    <row r="6" spans="2:6" ht="13.5" x14ac:dyDescent="0.3">
      <c r="B6" s="73" t="s">
        <v>73</v>
      </c>
      <c r="C6" s="75">
        <v>0.63800000000000001</v>
      </c>
      <c r="D6" s="69"/>
      <c r="E6" s="64"/>
      <c r="F6" s="63"/>
    </row>
    <row r="7" spans="2:6" ht="13.5" x14ac:dyDescent="0.3">
      <c r="B7" s="73" t="s">
        <v>74</v>
      </c>
      <c r="C7" s="74">
        <f>(((1+(C4))^(1/C5))-1)*100</f>
        <v>0.51053896772101925</v>
      </c>
      <c r="D7" s="69"/>
      <c r="E7" s="64"/>
      <c r="F7" s="63"/>
    </row>
    <row r="8" spans="2:6" ht="13.5" x14ac:dyDescent="0.3">
      <c r="B8" s="73" t="s">
        <v>75</v>
      </c>
      <c r="C8" s="76">
        <f>(((1+(C6/100))^(1/C5))-1)*100</f>
        <v>2.6502402735473218E-2</v>
      </c>
      <c r="D8" s="69"/>
      <c r="E8" s="64"/>
      <c r="F8" s="63"/>
    </row>
    <row r="9" spans="2:6" ht="13.5" x14ac:dyDescent="0.3">
      <c r="B9" s="73" t="s">
        <v>76</v>
      </c>
      <c r="C9" s="324">
        <v>0.03</v>
      </c>
      <c r="D9" s="69"/>
      <c r="E9" s="64"/>
      <c r="F9" s="63"/>
    </row>
    <row r="10" spans="2:6" ht="13.5" x14ac:dyDescent="0.3">
      <c r="B10" s="73" t="s">
        <v>77</v>
      </c>
      <c r="C10" s="74">
        <f>C3*(((C9*((1+C9)^C5)))/(((1+C9)^C5)-1))</f>
        <v>2829.6466481401558</v>
      </c>
      <c r="D10" s="69"/>
      <c r="E10" s="64"/>
      <c r="F10" s="63"/>
    </row>
    <row r="11" spans="2:6" ht="13.5" x14ac:dyDescent="0.3">
      <c r="C11" s="77"/>
      <c r="D11" s="69"/>
      <c r="E11" s="64"/>
      <c r="F11" s="63"/>
    </row>
    <row r="12" spans="2:6" ht="13.5" x14ac:dyDescent="0.3">
      <c r="B12" s="78" t="s">
        <v>78</v>
      </c>
      <c r="C12" s="78"/>
      <c r="D12" s="78"/>
      <c r="E12" s="78"/>
      <c r="F12" s="78"/>
    </row>
    <row r="13" spans="2:6" ht="13.5" x14ac:dyDescent="0.3">
      <c r="B13" s="78"/>
      <c r="C13" s="78"/>
      <c r="D13" s="78"/>
      <c r="E13" s="78"/>
      <c r="F13" s="78"/>
    </row>
    <row r="14" spans="2:6" ht="13.5" x14ac:dyDescent="0.25">
      <c r="B14" s="176" t="s">
        <v>79</v>
      </c>
      <c r="C14" s="176" t="s">
        <v>80</v>
      </c>
      <c r="D14" s="176" t="s">
        <v>81</v>
      </c>
      <c r="E14" s="176" t="s">
        <v>82</v>
      </c>
      <c r="F14" s="176" t="s">
        <v>77</v>
      </c>
    </row>
    <row r="15" spans="2:6" ht="13.5" x14ac:dyDescent="0.3">
      <c r="B15" s="65">
        <v>0</v>
      </c>
      <c r="C15" s="66">
        <f>C3</f>
        <v>47921.599999999999</v>
      </c>
      <c r="D15" s="66">
        <v>0</v>
      </c>
      <c r="E15" s="66">
        <v>0</v>
      </c>
      <c r="F15" s="66">
        <v>0</v>
      </c>
    </row>
    <row r="16" spans="2:6" ht="13.5" x14ac:dyDescent="0.3">
      <c r="B16" s="65">
        <v>1</v>
      </c>
      <c r="C16" s="66">
        <f>C15-D16</f>
        <v>46529.601351859841</v>
      </c>
      <c r="D16" s="66">
        <f t="shared" ref="D16:D21" si="0">F16-E16</f>
        <v>1391.9986481401559</v>
      </c>
      <c r="E16" s="66">
        <f>C15*$C$9</f>
        <v>1437.6479999999999</v>
      </c>
      <c r="F16" s="66">
        <f t="shared" ref="F16:F39" si="1">$C$10</f>
        <v>2829.6466481401558</v>
      </c>
    </row>
    <row r="17" spans="2:6" ht="13.5" x14ac:dyDescent="0.3">
      <c r="B17" s="65">
        <f>B16+1</f>
        <v>2</v>
      </c>
      <c r="C17" s="66">
        <f t="shared" ref="C17:C26" si="2">C16-D17</f>
        <v>45095.842744275484</v>
      </c>
      <c r="D17" s="66">
        <f t="shared" si="0"/>
        <v>1433.7586075843606</v>
      </c>
      <c r="E17" s="66">
        <f t="shared" ref="E17:E24" si="3">C16*$C$9</f>
        <v>1395.8880405557952</v>
      </c>
      <c r="F17" s="66">
        <f t="shared" si="1"/>
        <v>2829.6466481401558</v>
      </c>
    </row>
    <row r="18" spans="2:6" ht="13.5" x14ac:dyDescent="0.3">
      <c r="B18" s="65">
        <f t="shared" ref="B18:B39" si="4">B17+1</f>
        <v>3</v>
      </c>
      <c r="C18" s="66">
        <f t="shared" si="2"/>
        <v>43619.071378463595</v>
      </c>
      <c r="D18" s="66">
        <f t="shared" si="0"/>
        <v>1476.7713658118914</v>
      </c>
      <c r="E18" s="66">
        <f t="shared" si="3"/>
        <v>1352.8752823282643</v>
      </c>
      <c r="F18" s="66">
        <f t="shared" si="1"/>
        <v>2829.6466481401558</v>
      </c>
    </row>
    <row r="19" spans="2:6" ht="13.5" x14ac:dyDescent="0.3">
      <c r="B19" s="65">
        <f t="shared" si="4"/>
        <v>4</v>
      </c>
      <c r="C19" s="66">
        <f t="shared" si="2"/>
        <v>42097.996871677351</v>
      </c>
      <c r="D19" s="66">
        <f t="shared" si="0"/>
        <v>1521.0745067862479</v>
      </c>
      <c r="E19" s="66">
        <f t="shared" si="3"/>
        <v>1308.5721413539079</v>
      </c>
      <c r="F19" s="66">
        <f t="shared" si="1"/>
        <v>2829.6466481401558</v>
      </c>
    </row>
    <row r="20" spans="2:6" ht="13.5" x14ac:dyDescent="0.3">
      <c r="B20" s="65">
        <f t="shared" si="4"/>
        <v>5</v>
      </c>
      <c r="C20" s="66">
        <f t="shared" si="2"/>
        <v>40531.290129687513</v>
      </c>
      <c r="D20" s="66">
        <f t="shared" si="0"/>
        <v>1566.7067419898353</v>
      </c>
      <c r="E20" s="66">
        <f t="shared" si="3"/>
        <v>1262.9399061503204</v>
      </c>
      <c r="F20" s="66">
        <f t="shared" si="1"/>
        <v>2829.6466481401558</v>
      </c>
    </row>
    <row r="21" spans="2:6" ht="13.5" x14ac:dyDescent="0.3">
      <c r="B21" s="65">
        <f t="shared" si="4"/>
        <v>6</v>
      </c>
      <c r="C21" s="66">
        <f t="shared" si="2"/>
        <v>38917.582185437983</v>
      </c>
      <c r="D21" s="66">
        <f t="shared" si="0"/>
        <v>1613.7079442495303</v>
      </c>
      <c r="E21" s="66">
        <f t="shared" si="3"/>
        <v>1215.9387038906254</v>
      </c>
      <c r="F21" s="66">
        <f t="shared" si="1"/>
        <v>2829.6466481401558</v>
      </c>
    </row>
    <row r="22" spans="2:6" ht="13.5" x14ac:dyDescent="0.3">
      <c r="B22" s="65">
        <f t="shared" si="4"/>
        <v>7</v>
      </c>
      <c r="C22" s="66">
        <f t="shared" si="2"/>
        <v>37255.463002860968</v>
      </c>
      <c r="D22" s="66">
        <f t="shared" ref="D22:D39" si="5">F22-(C21*$C$9)</f>
        <v>1662.1191825770163</v>
      </c>
      <c r="E22" s="66">
        <f t="shared" si="3"/>
        <v>1167.5274655631395</v>
      </c>
      <c r="F22" s="66">
        <f t="shared" si="1"/>
        <v>2829.6466481401558</v>
      </c>
    </row>
    <row r="23" spans="2:6" ht="13.5" x14ac:dyDescent="0.3">
      <c r="B23" s="65">
        <f t="shared" si="4"/>
        <v>8</v>
      </c>
      <c r="C23" s="66">
        <f t="shared" si="2"/>
        <v>35543.48024480664</v>
      </c>
      <c r="D23" s="66">
        <f t="shared" si="5"/>
        <v>1711.9827580543267</v>
      </c>
      <c r="E23" s="66">
        <f t="shared" si="3"/>
        <v>1117.6638900858291</v>
      </c>
      <c r="F23" s="66">
        <f t="shared" si="1"/>
        <v>2829.6466481401558</v>
      </c>
    </row>
    <row r="24" spans="2:6" ht="13.5" x14ac:dyDescent="0.3">
      <c r="B24" s="65">
        <f t="shared" si="4"/>
        <v>9</v>
      </c>
      <c r="C24" s="66">
        <f t="shared" si="2"/>
        <v>33780.138004010681</v>
      </c>
      <c r="D24" s="66">
        <f t="shared" si="5"/>
        <v>1763.3422407959565</v>
      </c>
      <c r="E24" s="66">
        <f t="shared" si="3"/>
        <v>1066.3044073441993</v>
      </c>
      <c r="F24" s="66">
        <f t="shared" si="1"/>
        <v>2829.6466481401558</v>
      </c>
    </row>
    <row r="25" spans="2:6" ht="13.5" x14ac:dyDescent="0.3">
      <c r="B25" s="65">
        <f t="shared" si="4"/>
        <v>10</v>
      </c>
      <c r="C25" s="66">
        <f t="shared" si="2"/>
        <v>31963.895495990844</v>
      </c>
      <c r="D25" s="66">
        <f t="shared" si="5"/>
        <v>1816.2425080198354</v>
      </c>
      <c r="E25" s="66">
        <f>F25-D25</f>
        <v>1013.4041401203203</v>
      </c>
      <c r="F25" s="66">
        <f t="shared" si="1"/>
        <v>2829.6466481401558</v>
      </c>
    </row>
    <row r="26" spans="2:6" ht="13.5" x14ac:dyDescent="0.3">
      <c r="B26" s="65">
        <f t="shared" si="4"/>
        <v>11</v>
      </c>
      <c r="C26" s="66">
        <f t="shared" si="2"/>
        <v>30093.165712730413</v>
      </c>
      <c r="D26" s="66">
        <f t="shared" si="5"/>
        <v>1870.7297832604304</v>
      </c>
      <c r="E26" s="66">
        <f>F26-D26</f>
        <v>958.91686487972538</v>
      </c>
      <c r="F26" s="66">
        <f t="shared" si="1"/>
        <v>2829.6466481401558</v>
      </c>
    </row>
    <row r="27" spans="2:6" ht="13.5" x14ac:dyDescent="0.3">
      <c r="B27" s="65">
        <f t="shared" si="4"/>
        <v>12</v>
      </c>
      <c r="C27" s="66">
        <f>C26-D27</f>
        <v>28166.314035972169</v>
      </c>
      <c r="D27" s="66">
        <f t="shared" si="5"/>
        <v>1926.8516767582435</v>
      </c>
      <c r="E27" s="66">
        <f>F27-D27</f>
        <v>902.79497138191232</v>
      </c>
      <c r="F27" s="66">
        <f t="shared" si="1"/>
        <v>2829.6466481401558</v>
      </c>
    </row>
    <row r="28" spans="2:6" ht="13.5" x14ac:dyDescent="0.3">
      <c r="B28" s="65">
        <f t="shared" si="4"/>
        <v>13</v>
      </c>
      <c r="C28" s="66">
        <f t="shared" ref="C28:C39" si="6">C27-D28</f>
        <v>26181.656808911179</v>
      </c>
      <c r="D28" s="66">
        <f t="shared" si="5"/>
        <v>1984.6572270609909</v>
      </c>
      <c r="E28" s="66">
        <f t="shared" ref="E28:E39" si="7">F28-D28</f>
        <v>844.98942107916491</v>
      </c>
      <c r="F28" s="66">
        <f t="shared" si="1"/>
        <v>2829.6466481401558</v>
      </c>
    </row>
    <row r="29" spans="2:6" ht="13.5" x14ac:dyDescent="0.3">
      <c r="B29" s="65">
        <f t="shared" si="4"/>
        <v>14</v>
      </c>
      <c r="C29" s="66">
        <f t="shared" si="6"/>
        <v>24137.45986503836</v>
      </c>
      <c r="D29" s="66">
        <f t="shared" si="5"/>
        <v>2044.1969438728204</v>
      </c>
      <c r="E29" s="66">
        <f t="shared" si="7"/>
        <v>785.44970426733539</v>
      </c>
      <c r="F29" s="66">
        <f t="shared" si="1"/>
        <v>2829.6466481401558</v>
      </c>
    </row>
    <row r="30" spans="2:6" ht="13.5" x14ac:dyDescent="0.3">
      <c r="B30" s="65">
        <f t="shared" si="4"/>
        <v>15</v>
      </c>
      <c r="C30" s="66">
        <f t="shared" si="6"/>
        <v>22031.937012849354</v>
      </c>
      <c r="D30" s="66">
        <f t="shared" si="5"/>
        <v>2105.5228521890049</v>
      </c>
      <c r="E30" s="66">
        <f t="shared" si="7"/>
        <v>724.1237959511509</v>
      </c>
      <c r="F30" s="66">
        <f t="shared" si="1"/>
        <v>2829.6466481401558</v>
      </c>
    </row>
    <row r="31" spans="2:6" ht="13.5" x14ac:dyDescent="0.3">
      <c r="B31" s="65">
        <f t="shared" si="4"/>
        <v>16</v>
      </c>
      <c r="C31" s="66">
        <f t="shared" si="6"/>
        <v>19863.248475094679</v>
      </c>
      <c r="D31" s="66">
        <f t="shared" si="5"/>
        <v>2168.6885377546751</v>
      </c>
      <c r="E31" s="66">
        <f t="shared" si="7"/>
        <v>660.95811038548072</v>
      </c>
      <c r="F31" s="66">
        <f t="shared" si="1"/>
        <v>2829.6466481401558</v>
      </c>
    </row>
    <row r="32" spans="2:6" ht="13.5" x14ac:dyDescent="0.3">
      <c r="B32" s="65">
        <f t="shared" si="4"/>
        <v>17</v>
      </c>
      <c r="C32" s="66">
        <f t="shared" si="6"/>
        <v>17629.499281207361</v>
      </c>
      <c r="D32" s="66">
        <f t="shared" si="5"/>
        <v>2233.7491938873154</v>
      </c>
      <c r="E32" s="66">
        <f t="shared" si="7"/>
        <v>595.89745425284036</v>
      </c>
      <c r="F32" s="66">
        <f t="shared" si="1"/>
        <v>2829.6466481401558</v>
      </c>
    </row>
    <row r="33" spans="2:6" ht="13.5" x14ac:dyDescent="0.3">
      <c r="B33" s="65">
        <f t="shared" si="4"/>
        <v>18</v>
      </c>
      <c r="C33" s="66">
        <f t="shared" si="6"/>
        <v>15328.737611503428</v>
      </c>
      <c r="D33" s="66">
        <f t="shared" si="5"/>
        <v>2300.7616697039348</v>
      </c>
      <c r="E33" s="66">
        <f t="shared" si="7"/>
        <v>528.88497843622099</v>
      </c>
      <c r="F33" s="66">
        <f t="shared" si="1"/>
        <v>2829.6466481401558</v>
      </c>
    </row>
    <row r="34" spans="2:6" ht="13.5" x14ac:dyDescent="0.3">
      <c r="B34" s="65">
        <f t="shared" si="4"/>
        <v>19</v>
      </c>
      <c r="C34" s="66">
        <f t="shared" si="6"/>
        <v>12958.953091708376</v>
      </c>
      <c r="D34" s="66">
        <f t="shared" si="5"/>
        <v>2369.7845197950528</v>
      </c>
      <c r="E34" s="66">
        <f t="shared" si="7"/>
        <v>459.86212834510297</v>
      </c>
      <c r="F34" s="66">
        <f t="shared" si="1"/>
        <v>2829.6466481401558</v>
      </c>
    </row>
    <row r="35" spans="2:6" ht="13.5" x14ac:dyDescent="0.3">
      <c r="B35" s="65">
        <f t="shared" si="4"/>
        <v>20</v>
      </c>
      <c r="C35" s="66">
        <f t="shared" si="6"/>
        <v>10518.075036319471</v>
      </c>
      <c r="D35" s="66">
        <f t="shared" si="5"/>
        <v>2440.8780553889046</v>
      </c>
      <c r="E35" s="66">
        <f t="shared" si="7"/>
        <v>388.76859275125116</v>
      </c>
      <c r="F35" s="66">
        <f t="shared" si="1"/>
        <v>2829.6466481401558</v>
      </c>
    </row>
    <row r="36" spans="2:6" ht="13.5" x14ac:dyDescent="0.3">
      <c r="B36" s="65">
        <f t="shared" si="4"/>
        <v>21</v>
      </c>
      <c r="C36" s="66">
        <f t="shared" si="6"/>
        <v>8003.9706392688995</v>
      </c>
      <c r="D36" s="66">
        <f t="shared" si="5"/>
        <v>2514.1043970505716</v>
      </c>
      <c r="E36" s="66">
        <f t="shared" si="7"/>
        <v>315.54225108958417</v>
      </c>
      <c r="F36" s="66">
        <f t="shared" si="1"/>
        <v>2829.6466481401558</v>
      </c>
    </row>
    <row r="37" spans="2:6" ht="13.5" x14ac:dyDescent="0.3">
      <c r="B37" s="65">
        <f t="shared" si="4"/>
        <v>22</v>
      </c>
      <c r="C37" s="66">
        <f t="shared" si="6"/>
        <v>5414.4431103068109</v>
      </c>
      <c r="D37" s="66">
        <f t="shared" si="5"/>
        <v>2589.5275289620886</v>
      </c>
      <c r="E37" s="66">
        <f t="shared" si="7"/>
        <v>240.11911917806719</v>
      </c>
      <c r="F37" s="66">
        <f t="shared" si="1"/>
        <v>2829.6466481401558</v>
      </c>
    </row>
    <row r="38" spans="2:6" ht="13.5" x14ac:dyDescent="0.3">
      <c r="B38" s="65">
        <f t="shared" si="4"/>
        <v>23</v>
      </c>
      <c r="C38" s="66">
        <f t="shared" si="6"/>
        <v>2747.2297554758593</v>
      </c>
      <c r="D38" s="66">
        <f t="shared" si="5"/>
        <v>2667.2133548309516</v>
      </c>
      <c r="E38" s="66">
        <f t="shared" si="7"/>
        <v>162.43329330920415</v>
      </c>
      <c r="F38" s="66">
        <f t="shared" si="1"/>
        <v>2829.6466481401558</v>
      </c>
    </row>
    <row r="39" spans="2:6" ht="13.5" x14ac:dyDescent="0.3">
      <c r="B39" s="65">
        <f t="shared" si="4"/>
        <v>24</v>
      </c>
      <c r="C39" s="66">
        <f t="shared" si="6"/>
        <v>-2.0918378140777349E-11</v>
      </c>
      <c r="D39" s="66">
        <f t="shared" si="5"/>
        <v>2747.2297554758802</v>
      </c>
      <c r="E39" s="66">
        <f t="shared" si="7"/>
        <v>82.416892664275565</v>
      </c>
      <c r="F39" s="66">
        <f t="shared" si="1"/>
        <v>2829.6466481401558</v>
      </c>
    </row>
    <row r="40" spans="2:6" x14ac:dyDescent="0.25">
      <c r="D40" s="357">
        <f>SUM(D16:D39)</f>
        <v>47921.600000000013</v>
      </c>
      <c r="E40" s="357">
        <f>SUM(E16:E39)</f>
        <v>19989.919555363715</v>
      </c>
      <c r="F40" s="357">
        <f>SUM(F16:F39)</f>
        <v>67911.51955536376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topLeftCell="A16" workbookViewId="0">
      <pane xSplit="1" topLeftCell="P1" activePane="topRight" state="frozenSplit"/>
      <selection pane="topRight" activeCell="A16" sqref="A16"/>
    </sheetView>
  </sheetViews>
  <sheetFormatPr baseColWidth="10" defaultColWidth="11.42578125" defaultRowHeight="12.75" x14ac:dyDescent="0.25"/>
  <cols>
    <col min="1" max="1" width="34.140625" style="29" customWidth="1"/>
    <col min="2" max="2" width="11.5703125" style="30" customWidth="1"/>
    <col min="3" max="20" width="13.140625" style="30" customWidth="1"/>
    <col min="21" max="21" width="15" style="30" customWidth="1"/>
    <col min="22" max="26" width="13.140625" style="30" customWidth="1"/>
    <col min="27" max="27" width="14.28515625" style="29" customWidth="1"/>
    <col min="28" max="16384" width="11.42578125" style="29"/>
  </cols>
  <sheetData>
    <row r="1" spans="1:26" ht="13.5" x14ac:dyDescent="0.3">
      <c r="A1" s="410" t="s">
        <v>83</v>
      </c>
      <c r="B1" s="410"/>
      <c r="C1" s="410"/>
      <c r="D1" s="36"/>
    </row>
    <row r="2" spans="1:26" ht="13.5" thickBot="1" x14ac:dyDescent="0.3"/>
    <row r="3" spans="1:26" s="41" customFormat="1" ht="14.25" thickBot="1" x14ac:dyDescent="0.3">
      <c r="A3" s="179" t="s">
        <v>84</v>
      </c>
      <c r="B3" s="37" t="s">
        <v>85</v>
      </c>
      <c r="C3" s="37" t="s">
        <v>86</v>
      </c>
      <c r="D3" s="37" t="s">
        <v>87</v>
      </c>
      <c r="E3" s="38" t="s">
        <v>88</v>
      </c>
      <c r="F3" s="38" t="s">
        <v>89</v>
      </c>
      <c r="G3" s="38" t="s">
        <v>90</v>
      </c>
      <c r="H3" s="39" t="s">
        <v>91</v>
      </c>
      <c r="I3" s="39" t="s">
        <v>92</v>
      </c>
      <c r="J3" s="39" t="s">
        <v>93</v>
      </c>
      <c r="K3" s="178" t="s">
        <v>94</v>
      </c>
      <c r="L3" s="178" t="s">
        <v>95</v>
      </c>
      <c r="M3" s="178" t="s">
        <v>96</v>
      </c>
      <c r="N3" s="37" t="s">
        <v>97</v>
      </c>
      <c r="O3" s="37" t="s">
        <v>98</v>
      </c>
      <c r="P3" s="37" t="s">
        <v>99</v>
      </c>
      <c r="Q3" s="38" t="s">
        <v>100</v>
      </c>
      <c r="R3" s="38" t="s">
        <v>101</v>
      </c>
      <c r="S3" s="38" t="s">
        <v>102</v>
      </c>
      <c r="T3" s="39" t="s">
        <v>103</v>
      </c>
      <c r="U3" s="39" t="s">
        <v>104</v>
      </c>
      <c r="V3" s="39" t="s">
        <v>105</v>
      </c>
      <c r="W3" s="178" t="s">
        <v>106</v>
      </c>
      <c r="X3" s="178" t="s">
        <v>107</v>
      </c>
      <c r="Y3" s="178" t="s">
        <v>108</v>
      </c>
      <c r="Z3" s="40" t="s">
        <v>66</v>
      </c>
    </row>
    <row r="4" spans="1:26" s="41" customFormat="1" ht="13.5" x14ac:dyDescent="0.25">
      <c r="A4" s="181" t="s">
        <v>109</v>
      </c>
      <c r="B4" s="42">
        <v>560</v>
      </c>
      <c r="C4" s="42">
        <f t="shared" ref="C4:D14" si="0">B4</f>
        <v>560</v>
      </c>
      <c r="D4" s="42">
        <f t="shared" si="0"/>
        <v>560</v>
      </c>
      <c r="E4" s="42">
        <f>D4/2</f>
        <v>280</v>
      </c>
      <c r="F4" s="42">
        <f t="shared" ref="F4:F14" si="1">D4</f>
        <v>560</v>
      </c>
      <c r="G4" s="42">
        <f t="shared" ref="G4:G14" si="2">E4</f>
        <v>280</v>
      </c>
      <c r="H4" s="42">
        <f t="shared" ref="H4:H14" si="3">F4</f>
        <v>560</v>
      </c>
      <c r="I4" s="42">
        <f>H4</f>
        <v>560</v>
      </c>
      <c r="J4" s="42">
        <f>I4</f>
        <v>560</v>
      </c>
      <c r="K4" s="42">
        <f>J4</f>
        <v>560</v>
      </c>
      <c r="L4" s="42">
        <f t="shared" ref="L4:Y4" si="4">K4</f>
        <v>560</v>
      </c>
      <c r="M4" s="42">
        <f t="shared" si="4"/>
        <v>560</v>
      </c>
      <c r="N4" s="42">
        <f t="shared" si="4"/>
        <v>560</v>
      </c>
      <c r="O4" s="42">
        <f t="shared" si="4"/>
        <v>560</v>
      </c>
      <c r="P4" s="42">
        <f t="shared" si="4"/>
        <v>560</v>
      </c>
      <c r="Q4" s="42">
        <f t="shared" si="4"/>
        <v>560</v>
      </c>
      <c r="R4" s="42">
        <f t="shared" si="4"/>
        <v>560</v>
      </c>
      <c r="S4" s="42">
        <f t="shared" si="4"/>
        <v>560</v>
      </c>
      <c r="T4" s="42">
        <f t="shared" si="4"/>
        <v>560</v>
      </c>
      <c r="U4" s="42">
        <f t="shared" si="4"/>
        <v>560</v>
      </c>
      <c r="V4" s="42">
        <f t="shared" si="4"/>
        <v>560</v>
      </c>
      <c r="W4" s="42">
        <f t="shared" si="4"/>
        <v>560</v>
      </c>
      <c r="X4" s="42">
        <f t="shared" si="4"/>
        <v>560</v>
      </c>
      <c r="Y4" s="42">
        <f t="shared" si="4"/>
        <v>560</v>
      </c>
      <c r="Z4" s="115">
        <f>SUM(B4:Y4)</f>
        <v>12880</v>
      </c>
    </row>
    <row r="5" spans="1:26" s="41" customFormat="1" ht="13.5" x14ac:dyDescent="0.25">
      <c r="A5" s="182" t="s">
        <v>110</v>
      </c>
      <c r="B5" s="43">
        <v>420</v>
      </c>
      <c r="C5" s="43">
        <f t="shared" si="0"/>
        <v>420</v>
      </c>
      <c r="D5" s="43">
        <f t="shared" si="0"/>
        <v>420</v>
      </c>
      <c r="E5" s="42">
        <f t="shared" ref="E5:E14" si="5">D5/2</f>
        <v>210</v>
      </c>
      <c r="F5" s="43">
        <f t="shared" si="1"/>
        <v>420</v>
      </c>
      <c r="G5" s="43">
        <f t="shared" si="2"/>
        <v>210</v>
      </c>
      <c r="H5" s="43">
        <f t="shared" si="3"/>
        <v>420</v>
      </c>
      <c r="I5" s="42">
        <f t="shared" ref="I5:J14" si="6">H5</f>
        <v>420</v>
      </c>
      <c r="J5" s="42">
        <f t="shared" si="6"/>
        <v>420</v>
      </c>
      <c r="K5" s="42">
        <f t="shared" ref="K5:Y14" si="7">J5</f>
        <v>420</v>
      </c>
      <c r="L5" s="42">
        <f t="shared" si="7"/>
        <v>420</v>
      </c>
      <c r="M5" s="42">
        <f t="shared" si="7"/>
        <v>420</v>
      </c>
      <c r="N5" s="42">
        <f t="shared" si="7"/>
        <v>420</v>
      </c>
      <c r="O5" s="42">
        <f t="shared" si="7"/>
        <v>420</v>
      </c>
      <c r="P5" s="42">
        <f t="shared" si="7"/>
        <v>420</v>
      </c>
      <c r="Q5" s="42">
        <f t="shared" si="7"/>
        <v>420</v>
      </c>
      <c r="R5" s="42">
        <f t="shared" si="7"/>
        <v>420</v>
      </c>
      <c r="S5" s="42">
        <f t="shared" si="7"/>
        <v>420</v>
      </c>
      <c r="T5" s="42">
        <f t="shared" si="7"/>
        <v>420</v>
      </c>
      <c r="U5" s="42">
        <f t="shared" si="7"/>
        <v>420</v>
      </c>
      <c r="V5" s="42">
        <f t="shared" si="7"/>
        <v>420</v>
      </c>
      <c r="W5" s="42">
        <f t="shared" si="7"/>
        <v>420</v>
      </c>
      <c r="X5" s="42">
        <f t="shared" si="7"/>
        <v>420</v>
      </c>
      <c r="Y5" s="42">
        <f t="shared" si="7"/>
        <v>420</v>
      </c>
      <c r="Z5" s="115">
        <f>SUM(B5:Y5)</f>
        <v>9660</v>
      </c>
    </row>
    <row r="6" spans="1:26" s="41" customFormat="1" ht="13.5" x14ac:dyDescent="0.25">
      <c r="A6" s="182" t="s">
        <v>111</v>
      </c>
      <c r="B6" s="43">
        <v>280</v>
      </c>
      <c r="C6" s="43">
        <f t="shared" si="0"/>
        <v>280</v>
      </c>
      <c r="D6" s="43">
        <f t="shared" si="0"/>
        <v>280</v>
      </c>
      <c r="E6" s="42">
        <f t="shared" si="5"/>
        <v>140</v>
      </c>
      <c r="F6" s="43">
        <f t="shared" si="1"/>
        <v>280</v>
      </c>
      <c r="G6" s="43">
        <f t="shared" si="2"/>
        <v>140</v>
      </c>
      <c r="H6" s="43">
        <f t="shared" si="3"/>
        <v>280</v>
      </c>
      <c r="I6" s="42">
        <f t="shared" si="6"/>
        <v>280</v>
      </c>
      <c r="J6" s="42">
        <f t="shared" si="6"/>
        <v>280</v>
      </c>
      <c r="K6" s="42">
        <f t="shared" si="7"/>
        <v>280</v>
      </c>
      <c r="L6" s="42">
        <f t="shared" si="7"/>
        <v>280</v>
      </c>
      <c r="M6" s="42">
        <f t="shared" si="7"/>
        <v>280</v>
      </c>
      <c r="N6" s="42">
        <f t="shared" si="7"/>
        <v>280</v>
      </c>
      <c r="O6" s="42">
        <f t="shared" si="7"/>
        <v>280</v>
      </c>
      <c r="P6" s="42">
        <f t="shared" si="7"/>
        <v>280</v>
      </c>
      <c r="Q6" s="42">
        <f t="shared" si="7"/>
        <v>280</v>
      </c>
      <c r="R6" s="42">
        <f t="shared" si="7"/>
        <v>280</v>
      </c>
      <c r="S6" s="42">
        <f t="shared" si="7"/>
        <v>280</v>
      </c>
      <c r="T6" s="42">
        <f t="shared" si="7"/>
        <v>280</v>
      </c>
      <c r="U6" s="42">
        <f t="shared" si="7"/>
        <v>280</v>
      </c>
      <c r="V6" s="42">
        <f t="shared" si="7"/>
        <v>280</v>
      </c>
      <c r="W6" s="42">
        <f t="shared" si="7"/>
        <v>280</v>
      </c>
      <c r="X6" s="42">
        <f t="shared" si="7"/>
        <v>280</v>
      </c>
      <c r="Y6" s="42">
        <f t="shared" si="7"/>
        <v>280</v>
      </c>
      <c r="Z6" s="115">
        <f t="shared" ref="Z6:Z14" si="8">SUM(B6:Y6)</f>
        <v>6440</v>
      </c>
    </row>
    <row r="7" spans="1:26" s="41" customFormat="1" ht="13.5" x14ac:dyDescent="0.25">
      <c r="A7" s="182" t="s">
        <v>112</v>
      </c>
      <c r="B7" s="43">
        <v>700</v>
      </c>
      <c r="C7" s="43">
        <f t="shared" si="0"/>
        <v>700</v>
      </c>
      <c r="D7" s="43">
        <f t="shared" si="0"/>
        <v>700</v>
      </c>
      <c r="E7" s="42">
        <f t="shared" si="5"/>
        <v>350</v>
      </c>
      <c r="F7" s="43">
        <f t="shared" si="1"/>
        <v>700</v>
      </c>
      <c r="G7" s="43">
        <f t="shared" si="2"/>
        <v>350</v>
      </c>
      <c r="H7" s="43">
        <f t="shared" si="3"/>
        <v>700</v>
      </c>
      <c r="I7" s="42">
        <f t="shared" si="6"/>
        <v>700</v>
      </c>
      <c r="J7" s="42">
        <f t="shared" si="6"/>
        <v>700</v>
      </c>
      <c r="K7" s="42">
        <f t="shared" si="7"/>
        <v>700</v>
      </c>
      <c r="L7" s="42">
        <f t="shared" si="7"/>
        <v>700</v>
      </c>
      <c r="M7" s="42">
        <f t="shared" si="7"/>
        <v>700</v>
      </c>
      <c r="N7" s="42">
        <f t="shared" si="7"/>
        <v>700</v>
      </c>
      <c r="O7" s="42">
        <f t="shared" si="7"/>
        <v>700</v>
      </c>
      <c r="P7" s="42">
        <f t="shared" si="7"/>
        <v>700</v>
      </c>
      <c r="Q7" s="42">
        <f t="shared" si="7"/>
        <v>700</v>
      </c>
      <c r="R7" s="42">
        <f t="shared" si="7"/>
        <v>700</v>
      </c>
      <c r="S7" s="42">
        <f t="shared" si="7"/>
        <v>700</v>
      </c>
      <c r="T7" s="42">
        <f t="shared" si="7"/>
        <v>700</v>
      </c>
      <c r="U7" s="42">
        <f t="shared" si="7"/>
        <v>700</v>
      </c>
      <c r="V7" s="42">
        <f t="shared" si="7"/>
        <v>700</v>
      </c>
      <c r="W7" s="42">
        <f t="shared" si="7"/>
        <v>700</v>
      </c>
      <c r="X7" s="42">
        <f t="shared" si="7"/>
        <v>700</v>
      </c>
      <c r="Y7" s="42">
        <f t="shared" si="7"/>
        <v>700</v>
      </c>
      <c r="Z7" s="115">
        <f t="shared" si="8"/>
        <v>16100</v>
      </c>
    </row>
    <row r="8" spans="1:26" ht="13.5" x14ac:dyDescent="0.25">
      <c r="A8" s="182" t="s">
        <v>113</v>
      </c>
      <c r="B8" s="379">
        <v>280</v>
      </c>
      <c r="C8" s="379">
        <f t="shared" si="0"/>
        <v>280</v>
      </c>
      <c r="D8" s="379">
        <f t="shared" si="0"/>
        <v>280</v>
      </c>
      <c r="E8" s="42">
        <f t="shared" si="5"/>
        <v>140</v>
      </c>
      <c r="F8" s="379">
        <f t="shared" si="1"/>
        <v>280</v>
      </c>
      <c r="G8" s="379">
        <f t="shared" si="2"/>
        <v>140</v>
      </c>
      <c r="H8" s="379">
        <f t="shared" si="3"/>
        <v>280</v>
      </c>
      <c r="I8" s="42">
        <f>H8</f>
        <v>280</v>
      </c>
      <c r="J8" s="42">
        <f>I8</f>
        <v>280</v>
      </c>
      <c r="K8" s="42">
        <f t="shared" si="7"/>
        <v>280</v>
      </c>
      <c r="L8" s="42">
        <f t="shared" si="7"/>
        <v>280</v>
      </c>
      <c r="M8" s="42">
        <f t="shared" si="7"/>
        <v>280</v>
      </c>
      <c r="N8" s="42">
        <f t="shared" si="7"/>
        <v>280</v>
      </c>
      <c r="O8" s="42">
        <f t="shared" si="7"/>
        <v>280</v>
      </c>
      <c r="P8" s="42">
        <f t="shared" si="7"/>
        <v>280</v>
      </c>
      <c r="Q8" s="42">
        <f t="shared" si="7"/>
        <v>280</v>
      </c>
      <c r="R8" s="42">
        <f t="shared" si="7"/>
        <v>280</v>
      </c>
      <c r="S8" s="42">
        <f t="shared" si="7"/>
        <v>280</v>
      </c>
      <c r="T8" s="42">
        <f t="shared" si="7"/>
        <v>280</v>
      </c>
      <c r="U8" s="42">
        <f t="shared" si="7"/>
        <v>280</v>
      </c>
      <c r="V8" s="42">
        <f t="shared" si="7"/>
        <v>280</v>
      </c>
      <c r="W8" s="42">
        <f t="shared" si="7"/>
        <v>280</v>
      </c>
      <c r="X8" s="42">
        <f t="shared" si="7"/>
        <v>280</v>
      </c>
      <c r="Y8" s="42">
        <f t="shared" si="7"/>
        <v>280</v>
      </c>
      <c r="Z8" s="115">
        <f t="shared" si="8"/>
        <v>6440</v>
      </c>
    </row>
    <row r="9" spans="1:26" ht="13.5" x14ac:dyDescent="0.25">
      <c r="A9" s="182" t="s">
        <v>114</v>
      </c>
      <c r="B9" s="379">
        <v>280</v>
      </c>
      <c r="C9" s="379">
        <f t="shared" si="0"/>
        <v>280</v>
      </c>
      <c r="D9" s="379">
        <f t="shared" si="0"/>
        <v>280</v>
      </c>
      <c r="E9" s="42">
        <f t="shared" si="5"/>
        <v>140</v>
      </c>
      <c r="F9" s="379">
        <f t="shared" si="1"/>
        <v>280</v>
      </c>
      <c r="G9" s="379">
        <f t="shared" si="2"/>
        <v>140</v>
      </c>
      <c r="H9" s="379">
        <f t="shared" si="3"/>
        <v>280</v>
      </c>
      <c r="I9" s="42">
        <f>H9</f>
        <v>280</v>
      </c>
      <c r="J9" s="42">
        <f>I9</f>
        <v>280</v>
      </c>
      <c r="K9" s="42">
        <f t="shared" si="7"/>
        <v>280</v>
      </c>
      <c r="L9" s="42">
        <f t="shared" si="7"/>
        <v>280</v>
      </c>
      <c r="M9" s="42">
        <f t="shared" si="7"/>
        <v>280</v>
      </c>
      <c r="N9" s="42">
        <f t="shared" si="7"/>
        <v>280</v>
      </c>
      <c r="O9" s="42">
        <f t="shared" si="7"/>
        <v>280</v>
      </c>
      <c r="P9" s="42">
        <f t="shared" si="7"/>
        <v>280</v>
      </c>
      <c r="Q9" s="42">
        <f t="shared" si="7"/>
        <v>280</v>
      </c>
      <c r="R9" s="42">
        <f t="shared" si="7"/>
        <v>280</v>
      </c>
      <c r="S9" s="42">
        <f t="shared" si="7"/>
        <v>280</v>
      </c>
      <c r="T9" s="42">
        <f t="shared" si="7"/>
        <v>280</v>
      </c>
      <c r="U9" s="42">
        <f t="shared" si="7"/>
        <v>280</v>
      </c>
      <c r="V9" s="42">
        <f t="shared" si="7"/>
        <v>280</v>
      </c>
      <c r="W9" s="42">
        <f t="shared" si="7"/>
        <v>280</v>
      </c>
      <c r="X9" s="42">
        <f t="shared" si="7"/>
        <v>280</v>
      </c>
      <c r="Y9" s="42">
        <f t="shared" si="7"/>
        <v>280</v>
      </c>
      <c r="Z9" s="115">
        <f t="shared" si="8"/>
        <v>6440</v>
      </c>
    </row>
    <row r="10" spans="1:26" ht="13.5" x14ac:dyDescent="0.25">
      <c r="A10" s="182" t="s">
        <v>115</v>
      </c>
      <c r="B10" s="379">
        <v>560</v>
      </c>
      <c r="C10" s="379">
        <f t="shared" si="0"/>
        <v>560</v>
      </c>
      <c r="D10" s="379">
        <f t="shared" si="0"/>
        <v>560</v>
      </c>
      <c r="E10" s="42">
        <f t="shared" si="5"/>
        <v>280</v>
      </c>
      <c r="F10" s="379">
        <f t="shared" si="1"/>
        <v>560</v>
      </c>
      <c r="G10" s="379">
        <f t="shared" si="2"/>
        <v>280</v>
      </c>
      <c r="H10" s="379">
        <f t="shared" si="3"/>
        <v>560</v>
      </c>
      <c r="I10" s="42">
        <f t="shared" si="6"/>
        <v>560</v>
      </c>
      <c r="J10" s="42">
        <f t="shared" si="6"/>
        <v>560</v>
      </c>
      <c r="K10" s="42">
        <f t="shared" si="7"/>
        <v>560</v>
      </c>
      <c r="L10" s="42">
        <f t="shared" si="7"/>
        <v>560</v>
      </c>
      <c r="M10" s="42">
        <f t="shared" si="7"/>
        <v>560</v>
      </c>
      <c r="N10" s="42">
        <f t="shared" si="7"/>
        <v>560</v>
      </c>
      <c r="O10" s="42">
        <f t="shared" si="7"/>
        <v>560</v>
      </c>
      <c r="P10" s="42">
        <f t="shared" si="7"/>
        <v>560</v>
      </c>
      <c r="Q10" s="42">
        <f t="shared" si="7"/>
        <v>560</v>
      </c>
      <c r="R10" s="42">
        <f t="shared" si="7"/>
        <v>560</v>
      </c>
      <c r="S10" s="42">
        <f t="shared" si="7"/>
        <v>560</v>
      </c>
      <c r="T10" s="42">
        <f t="shared" si="7"/>
        <v>560</v>
      </c>
      <c r="U10" s="42">
        <f t="shared" si="7"/>
        <v>560</v>
      </c>
      <c r="V10" s="42">
        <f t="shared" si="7"/>
        <v>560</v>
      </c>
      <c r="W10" s="42">
        <f t="shared" si="7"/>
        <v>560</v>
      </c>
      <c r="X10" s="42">
        <f t="shared" si="7"/>
        <v>560</v>
      </c>
      <c r="Y10" s="42">
        <f t="shared" si="7"/>
        <v>560</v>
      </c>
      <c r="Z10" s="115">
        <f t="shared" si="8"/>
        <v>12880</v>
      </c>
    </row>
    <row r="11" spans="1:26" ht="27" x14ac:dyDescent="0.25">
      <c r="A11" s="182" t="s">
        <v>116</v>
      </c>
      <c r="B11" s="379">
        <v>224</v>
      </c>
      <c r="C11" s="379">
        <f t="shared" si="0"/>
        <v>224</v>
      </c>
      <c r="D11" s="379">
        <f t="shared" si="0"/>
        <v>224</v>
      </c>
      <c r="E11" s="42">
        <f t="shared" si="5"/>
        <v>112</v>
      </c>
      <c r="F11" s="379">
        <f t="shared" si="1"/>
        <v>224</v>
      </c>
      <c r="G11" s="379">
        <f t="shared" si="2"/>
        <v>112</v>
      </c>
      <c r="H11" s="379">
        <f t="shared" si="3"/>
        <v>224</v>
      </c>
      <c r="I11" s="42">
        <f t="shared" si="6"/>
        <v>224</v>
      </c>
      <c r="J11" s="42">
        <f t="shared" si="6"/>
        <v>224</v>
      </c>
      <c r="K11" s="42">
        <f t="shared" si="7"/>
        <v>224</v>
      </c>
      <c r="L11" s="42">
        <f t="shared" si="7"/>
        <v>224</v>
      </c>
      <c r="M11" s="42">
        <f t="shared" si="7"/>
        <v>224</v>
      </c>
      <c r="N11" s="42">
        <f t="shared" si="7"/>
        <v>224</v>
      </c>
      <c r="O11" s="42">
        <f t="shared" si="7"/>
        <v>224</v>
      </c>
      <c r="P11" s="42">
        <f t="shared" si="7"/>
        <v>224</v>
      </c>
      <c r="Q11" s="42">
        <f t="shared" si="7"/>
        <v>224</v>
      </c>
      <c r="R11" s="42">
        <f t="shared" si="7"/>
        <v>224</v>
      </c>
      <c r="S11" s="42">
        <f t="shared" si="7"/>
        <v>224</v>
      </c>
      <c r="T11" s="42">
        <f t="shared" si="7"/>
        <v>224</v>
      </c>
      <c r="U11" s="42">
        <f t="shared" si="7"/>
        <v>224</v>
      </c>
      <c r="V11" s="42">
        <f t="shared" si="7"/>
        <v>224</v>
      </c>
      <c r="W11" s="42">
        <f t="shared" si="7"/>
        <v>224</v>
      </c>
      <c r="X11" s="42">
        <f t="shared" si="7"/>
        <v>224</v>
      </c>
      <c r="Y11" s="42">
        <f t="shared" si="7"/>
        <v>224</v>
      </c>
      <c r="Z11" s="115">
        <f t="shared" si="8"/>
        <v>5152</v>
      </c>
    </row>
    <row r="12" spans="1:26" ht="13.5" x14ac:dyDescent="0.25">
      <c r="A12" s="182" t="s">
        <v>117</v>
      </c>
      <c r="B12" s="379">
        <v>420</v>
      </c>
      <c r="C12" s="379">
        <f t="shared" si="0"/>
        <v>420</v>
      </c>
      <c r="D12" s="379">
        <f t="shared" si="0"/>
        <v>420</v>
      </c>
      <c r="E12" s="42">
        <f t="shared" si="5"/>
        <v>210</v>
      </c>
      <c r="F12" s="379">
        <f t="shared" si="1"/>
        <v>420</v>
      </c>
      <c r="G12" s="379">
        <f t="shared" si="2"/>
        <v>210</v>
      </c>
      <c r="H12" s="379">
        <f t="shared" si="3"/>
        <v>420</v>
      </c>
      <c r="I12" s="42">
        <f t="shared" si="6"/>
        <v>420</v>
      </c>
      <c r="J12" s="42">
        <f t="shared" si="6"/>
        <v>420</v>
      </c>
      <c r="K12" s="42">
        <f t="shared" si="7"/>
        <v>420</v>
      </c>
      <c r="L12" s="42">
        <f t="shared" si="7"/>
        <v>420</v>
      </c>
      <c r="M12" s="42">
        <f t="shared" si="7"/>
        <v>420</v>
      </c>
      <c r="N12" s="42">
        <f t="shared" si="7"/>
        <v>420</v>
      </c>
      <c r="O12" s="42">
        <f t="shared" si="7"/>
        <v>420</v>
      </c>
      <c r="P12" s="42">
        <f t="shared" si="7"/>
        <v>420</v>
      </c>
      <c r="Q12" s="42">
        <f t="shared" si="7"/>
        <v>420</v>
      </c>
      <c r="R12" s="42">
        <f t="shared" si="7"/>
        <v>420</v>
      </c>
      <c r="S12" s="42">
        <f t="shared" si="7"/>
        <v>420</v>
      </c>
      <c r="T12" s="42">
        <f t="shared" si="7"/>
        <v>420</v>
      </c>
      <c r="U12" s="42">
        <f t="shared" si="7"/>
        <v>420</v>
      </c>
      <c r="V12" s="42">
        <f t="shared" si="7"/>
        <v>420</v>
      </c>
      <c r="W12" s="42">
        <f t="shared" si="7"/>
        <v>420</v>
      </c>
      <c r="X12" s="42">
        <f t="shared" si="7"/>
        <v>420</v>
      </c>
      <c r="Y12" s="42">
        <f t="shared" si="7"/>
        <v>420</v>
      </c>
      <c r="Z12" s="115">
        <f t="shared" si="8"/>
        <v>9660</v>
      </c>
    </row>
    <row r="13" spans="1:26" ht="13.5" x14ac:dyDescent="0.25">
      <c r="A13" s="182" t="s">
        <v>118</v>
      </c>
      <c r="B13" s="379">
        <v>700</v>
      </c>
      <c r="C13" s="379">
        <f t="shared" si="0"/>
        <v>700</v>
      </c>
      <c r="D13" s="379">
        <f t="shared" si="0"/>
        <v>700</v>
      </c>
      <c r="E13" s="42">
        <f t="shared" si="5"/>
        <v>350</v>
      </c>
      <c r="F13" s="379">
        <f t="shared" si="1"/>
        <v>700</v>
      </c>
      <c r="G13" s="379">
        <f t="shared" si="2"/>
        <v>350</v>
      </c>
      <c r="H13" s="379">
        <f t="shared" si="3"/>
        <v>700</v>
      </c>
      <c r="I13" s="42">
        <f t="shared" si="6"/>
        <v>700</v>
      </c>
      <c r="J13" s="42">
        <f t="shared" si="6"/>
        <v>700</v>
      </c>
      <c r="K13" s="42">
        <f t="shared" si="7"/>
        <v>700</v>
      </c>
      <c r="L13" s="42">
        <f t="shared" si="7"/>
        <v>700</v>
      </c>
      <c r="M13" s="42">
        <f t="shared" si="7"/>
        <v>700</v>
      </c>
      <c r="N13" s="42">
        <f t="shared" si="7"/>
        <v>700</v>
      </c>
      <c r="O13" s="42">
        <f t="shared" si="7"/>
        <v>700</v>
      </c>
      <c r="P13" s="42">
        <f t="shared" si="7"/>
        <v>700</v>
      </c>
      <c r="Q13" s="42">
        <f t="shared" si="7"/>
        <v>700</v>
      </c>
      <c r="R13" s="42">
        <f t="shared" si="7"/>
        <v>700</v>
      </c>
      <c r="S13" s="42">
        <f t="shared" si="7"/>
        <v>700</v>
      </c>
      <c r="T13" s="42">
        <f t="shared" si="7"/>
        <v>700</v>
      </c>
      <c r="U13" s="42">
        <f t="shared" si="7"/>
        <v>700</v>
      </c>
      <c r="V13" s="42">
        <f t="shared" si="7"/>
        <v>700</v>
      </c>
      <c r="W13" s="42">
        <f t="shared" si="7"/>
        <v>700</v>
      </c>
      <c r="X13" s="42">
        <f t="shared" si="7"/>
        <v>700</v>
      </c>
      <c r="Y13" s="42">
        <f t="shared" si="7"/>
        <v>700</v>
      </c>
      <c r="Z13" s="115">
        <f t="shared" si="8"/>
        <v>16100</v>
      </c>
    </row>
    <row r="14" spans="1:26" ht="13.5" x14ac:dyDescent="0.25">
      <c r="A14" s="182" t="s">
        <v>119</v>
      </c>
      <c r="B14" s="379">
        <v>560</v>
      </c>
      <c r="C14" s="379">
        <f t="shared" si="0"/>
        <v>560</v>
      </c>
      <c r="D14" s="379">
        <f t="shared" si="0"/>
        <v>560</v>
      </c>
      <c r="E14" s="42">
        <f t="shared" si="5"/>
        <v>280</v>
      </c>
      <c r="F14" s="379">
        <f t="shared" si="1"/>
        <v>560</v>
      </c>
      <c r="G14" s="379">
        <f t="shared" si="2"/>
        <v>280</v>
      </c>
      <c r="H14" s="379">
        <f t="shared" si="3"/>
        <v>560</v>
      </c>
      <c r="I14" s="42">
        <f t="shared" si="6"/>
        <v>560</v>
      </c>
      <c r="J14" s="42">
        <f t="shared" si="6"/>
        <v>560</v>
      </c>
      <c r="K14" s="42">
        <f t="shared" si="7"/>
        <v>560</v>
      </c>
      <c r="L14" s="42">
        <f t="shared" si="7"/>
        <v>560</v>
      </c>
      <c r="M14" s="42">
        <f t="shared" si="7"/>
        <v>560</v>
      </c>
      <c r="N14" s="42">
        <f t="shared" si="7"/>
        <v>560</v>
      </c>
      <c r="O14" s="42">
        <f t="shared" si="7"/>
        <v>560</v>
      </c>
      <c r="P14" s="42">
        <f t="shared" si="7"/>
        <v>560</v>
      </c>
      <c r="Q14" s="42">
        <f t="shared" si="7"/>
        <v>560</v>
      </c>
      <c r="R14" s="42">
        <f t="shared" si="7"/>
        <v>560</v>
      </c>
      <c r="S14" s="42">
        <f t="shared" si="7"/>
        <v>560</v>
      </c>
      <c r="T14" s="42">
        <f t="shared" si="7"/>
        <v>560</v>
      </c>
      <c r="U14" s="42">
        <f t="shared" si="7"/>
        <v>560</v>
      </c>
      <c r="V14" s="42">
        <f t="shared" si="7"/>
        <v>560</v>
      </c>
      <c r="W14" s="42">
        <f t="shared" si="7"/>
        <v>560</v>
      </c>
      <c r="X14" s="42">
        <f t="shared" si="7"/>
        <v>560</v>
      </c>
      <c r="Y14" s="42">
        <f t="shared" si="7"/>
        <v>560</v>
      </c>
      <c r="Z14" s="115">
        <f t="shared" si="8"/>
        <v>12880</v>
      </c>
    </row>
    <row r="15" spans="1:26" x14ac:dyDescent="0.25">
      <c r="B15" s="36">
        <f>SUM(B4:B14)</f>
        <v>4984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7" ht="13.5" x14ac:dyDescent="0.3">
      <c r="A17" s="410" t="s">
        <v>120</v>
      </c>
      <c r="B17" s="410"/>
      <c r="C17" s="410"/>
    </row>
    <row r="18" spans="1:27" ht="13.5" thickBot="1" x14ac:dyDescent="0.3"/>
    <row r="19" spans="1:27" ht="14.25" thickBot="1" x14ac:dyDescent="0.3">
      <c r="A19" s="179" t="s">
        <v>84</v>
      </c>
      <c r="B19" s="180" t="s">
        <v>121</v>
      </c>
      <c r="C19" s="37" t="s">
        <v>85</v>
      </c>
      <c r="D19" s="37" t="s">
        <v>86</v>
      </c>
      <c r="E19" s="37" t="s">
        <v>87</v>
      </c>
      <c r="F19" s="38" t="s">
        <v>88</v>
      </c>
      <c r="G19" s="38" t="s">
        <v>89</v>
      </c>
      <c r="H19" s="38" t="s">
        <v>90</v>
      </c>
      <c r="I19" s="39" t="s">
        <v>91</v>
      </c>
      <c r="J19" s="39" t="s">
        <v>92</v>
      </c>
      <c r="K19" s="39" t="s">
        <v>93</v>
      </c>
      <c r="L19" s="178" t="s">
        <v>94</v>
      </c>
      <c r="M19" s="178" t="s">
        <v>95</v>
      </c>
      <c r="N19" s="178" t="s">
        <v>96</v>
      </c>
      <c r="O19" s="37" t="s">
        <v>97</v>
      </c>
      <c r="P19" s="37" t="s">
        <v>98</v>
      </c>
      <c r="Q19" s="37" t="s">
        <v>99</v>
      </c>
      <c r="R19" s="38" t="s">
        <v>100</v>
      </c>
      <c r="S19" s="38" t="s">
        <v>101</v>
      </c>
      <c r="T19" s="38" t="s">
        <v>102</v>
      </c>
      <c r="U19" s="39" t="s">
        <v>103</v>
      </c>
      <c r="V19" s="39" t="s">
        <v>104</v>
      </c>
      <c r="W19" s="39" t="s">
        <v>105</v>
      </c>
      <c r="X19" s="178" t="s">
        <v>106</v>
      </c>
      <c r="Y19" s="178" t="s">
        <v>107</v>
      </c>
      <c r="Z19" s="178" t="s">
        <v>108</v>
      </c>
      <c r="AA19" s="40" t="s">
        <v>66</v>
      </c>
    </row>
    <row r="20" spans="1:27" ht="13.5" x14ac:dyDescent="0.25">
      <c r="A20" s="181" t="str">
        <f>+A4</f>
        <v>CHANCHO A LA PARRILLA</v>
      </c>
      <c r="B20" s="44">
        <v>15</v>
      </c>
      <c r="C20" s="45">
        <f>B4*$B$20</f>
        <v>8400</v>
      </c>
      <c r="D20" s="45">
        <f t="shared" ref="D20:Z20" si="9">C4*$B$20</f>
        <v>8400</v>
      </c>
      <c r="E20" s="45">
        <f t="shared" si="9"/>
        <v>8400</v>
      </c>
      <c r="F20" s="45">
        <f t="shared" si="9"/>
        <v>4200</v>
      </c>
      <c r="G20" s="45">
        <f t="shared" si="9"/>
        <v>8400</v>
      </c>
      <c r="H20" s="45">
        <f t="shared" si="9"/>
        <v>4200</v>
      </c>
      <c r="I20" s="45">
        <f t="shared" si="9"/>
        <v>8400</v>
      </c>
      <c r="J20" s="45">
        <f t="shared" si="9"/>
        <v>8400</v>
      </c>
      <c r="K20" s="45">
        <f t="shared" si="9"/>
        <v>8400</v>
      </c>
      <c r="L20" s="45">
        <f t="shared" si="9"/>
        <v>8400</v>
      </c>
      <c r="M20" s="45">
        <f t="shared" si="9"/>
        <v>8400</v>
      </c>
      <c r="N20" s="45">
        <f t="shared" si="9"/>
        <v>8400</v>
      </c>
      <c r="O20" s="45">
        <f t="shared" si="9"/>
        <v>8400</v>
      </c>
      <c r="P20" s="45">
        <f t="shared" si="9"/>
        <v>8400</v>
      </c>
      <c r="Q20" s="45">
        <f t="shared" si="9"/>
        <v>8400</v>
      </c>
      <c r="R20" s="45">
        <f t="shared" si="9"/>
        <v>8400</v>
      </c>
      <c r="S20" s="45">
        <f t="shared" si="9"/>
        <v>8400</v>
      </c>
      <c r="T20" s="45">
        <f t="shared" si="9"/>
        <v>8400</v>
      </c>
      <c r="U20" s="45">
        <f t="shared" si="9"/>
        <v>8400</v>
      </c>
      <c r="V20" s="45">
        <f t="shared" si="9"/>
        <v>8400</v>
      </c>
      <c r="W20" s="45">
        <f t="shared" si="9"/>
        <v>8400</v>
      </c>
      <c r="X20" s="45">
        <f t="shared" si="9"/>
        <v>8400</v>
      </c>
      <c r="Y20" s="45">
        <f t="shared" si="9"/>
        <v>8400</v>
      </c>
      <c r="Z20" s="45">
        <f t="shared" si="9"/>
        <v>8400</v>
      </c>
      <c r="AA20" s="46">
        <f>SUM(C20:Z20)</f>
        <v>193200</v>
      </c>
    </row>
    <row r="21" spans="1:27" ht="13.5" x14ac:dyDescent="0.25">
      <c r="A21" s="182" t="str">
        <f>+A5</f>
        <v>CORDERO  A  LA PARRILLA</v>
      </c>
      <c r="B21" s="380">
        <v>16</v>
      </c>
      <c r="C21" s="45">
        <f>B5*B21</f>
        <v>6720</v>
      </c>
      <c r="D21" s="45">
        <f>C5*B21</f>
        <v>6720</v>
      </c>
      <c r="E21" s="114">
        <f>D5*B21</f>
        <v>6720</v>
      </c>
      <c r="F21" s="114">
        <f>E5*B21</f>
        <v>3360</v>
      </c>
      <c r="G21" s="114">
        <f>F5*B21</f>
        <v>6720</v>
      </c>
      <c r="H21" s="114">
        <f>G5*B21</f>
        <v>3360</v>
      </c>
      <c r="I21" s="114">
        <f>H5*B21</f>
        <v>6720</v>
      </c>
      <c r="J21" s="114">
        <f>I5*B21</f>
        <v>6720</v>
      </c>
      <c r="K21" s="114">
        <f>J5*B21</f>
        <v>6720</v>
      </c>
      <c r="L21" s="114">
        <f>K5*B21</f>
        <v>6720</v>
      </c>
      <c r="M21" s="45">
        <f>L5*B21</f>
        <v>6720</v>
      </c>
      <c r="N21" s="45">
        <f>M5*B21</f>
        <v>6720</v>
      </c>
      <c r="O21" s="45">
        <f>N5*B21</f>
        <v>6720</v>
      </c>
      <c r="P21" s="45">
        <f>O5*B21</f>
        <v>6720</v>
      </c>
      <c r="Q21" s="45">
        <f>P5*B21</f>
        <v>6720</v>
      </c>
      <c r="R21" s="45">
        <f>Q5*B21</f>
        <v>6720</v>
      </c>
      <c r="S21" s="114">
        <f>R5*B21</f>
        <v>6720</v>
      </c>
      <c r="T21" s="114">
        <f>S5*B21</f>
        <v>6720</v>
      </c>
      <c r="U21" s="114">
        <f>T5*B21</f>
        <v>6720</v>
      </c>
      <c r="V21" s="114">
        <f>U5*B21</f>
        <v>6720</v>
      </c>
      <c r="W21" s="114">
        <f>V5*B21</f>
        <v>6720</v>
      </c>
      <c r="X21" s="114">
        <f>W5*B21</f>
        <v>6720</v>
      </c>
      <c r="Y21" s="114">
        <f>X5*B21</f>
        <v>6720</v>
      </c>
      <c r="Z21" s="114">
        <f>Y5*B21</f>
        <v>6720</v>
      </c>
      <c r="AA21" s="381">
        <f>SUM(C21:Z21)</f>
        <v>154560</v>
      </c>
    </row>
    <row r="22" spans="1:27" ht="13.5" x14ac:dyDescent="0.25">
      <c r="A22" s="182" t="str">
        <f t="shared" ref="A22:A30" si="10">A6</f>
        <v>RES A LA PARRILLA</v>
      </c>
      <c r="B22" s="380">
        <v>15</v>
      </c>
      <c r="C22" s="45">
        <f>B6*$B$22</f>
        <v>4200</v>
      </c>
      <c r="D22" s="45">
        <f t="shared" ref="D22:Z22" si="11">C6*$B$22</f>
        <v>4200</v>
      </c>
      <c r="E22" s="45">
        <f t="shared" si="11"/>
        <v>4200</v>
      </c>
      <c r="F22" s="45">
        <f t="shared" si="11"/>
        <v>2100</v>
      </c>
      <c r="G22" s="45">
        <f t="shared" si="11"/>
        <v>4200</v>
      </c>
      <c r="H22" s="45">
        <f t="shared" si="11"/>
        <v>2100</v>
      </c>
      <c r="I22" s="45">
        <f t="shared" si="11"/>
        <v>4200</v>
      </c>
      <c r="J22" s="45">
        <f t="shared" si="11"/>
        <v>4200</v>
      </c>
      <c r="K22" s="45">
        <f t="shared" si="11"/>
        <v>4200</v>
      </c>
      <c r="L22" s="45">
        <f t="shared" si="11"/>
        <v>4200</v>
      </c>
      <c r="M22" s="45">
        <f t="shared" si="11"/>
        <v>4200</v>
      </c>
      <c r="N22" s="45">
        <f t="shared" si="11"/>
        <v>4200</v>
      </c>
      <c r="O22" s="45">
        <f t="shared" si="11"/>
        <v>4200</v>
      </c>
      <c r="P22" s="45">
        <f t="shared" si="11"/>
        <v>4200</v>
      </c>
      <c r="Q22" s="45">
        <f t="shared" si="11"/>
        <v>4200</v>
      </c>
      <c r="R22" s="45">
        <f t="shared" si="11"/>
        <v>4200</v>
      </c>
      <c r="S22" s="45">
        <f t="shared" si="11"/>
        <v>4200</v>
      </c>
      <c r="T22" s="45">
        <f t="shared" si="11"/>
        <v>4200</v>
      </c>
      <c r="U22" s="45">
        <f t="shared" si="11"/>
        <v>4200</v>
      </c>
      <c r="V22" s="45">
        <f t="shared" si="11"/>
        <v>4200</v>
      </c>
      <c r="W22" s="45">
        <f t="shared" si="11"/>
        <v>4200</v>
      </c>
      <c r="X22" s="45">
        <f t="shared" si="11"/>
        <v>4200</v>
      </c>
      <c r="Y22" s="45">
        <f t="shared" si="11"/>
        <v>4200</v>
      </c>
      <c r="Z22" s="45">
        <f t="shared" si="11"/>
        <v>4200</v>
      </c>
      <c r="AA22" s="381">
        <f t="shared" ref="AA22:AA30" si="12">SUM(C22:Z22)</f>
        <v>96600</v>
      </c>
    </row>
    <row r="23" spans="1:27" ht="13.5" x14ac:dyDescent="0.25">
      <c r="A23" s="182" t="str">
        <f t="shared" si="10"/>
        <v>CHORI PAPA</v>
      </c>
      <c r="B23" s="380">
        <v>8</v>
      </c>
      <c r="C23" s="45">
        <f>B7*$B$23</f>
        <v>5600</v>
      </c>
      <c r="D23" s="45">
        <f t="shared" ref="D23:Z23" si="13">C7*$B$23</f>
        <v>5600</v>
      </c>
      <c r="E23" s="45">
        <f t="shared" si="13"/>
        <v>5600</v>
      </c>
      <c r="F23" s="45">
        <f t="shared" si="13"/>
        <v>2800</v>
      </c>
      <c r="G23" s="45">
        <f t="shared" si="13"/>
        <v>5600</v>
      </c>
      <c r="H23" s="45">
        <f t="shared" si="13"/>
        <v>2800</v>
      </c>
      <c r="I23" s="45">
        <f t="shared" si="13"/>
        <v>5600</v>
      </c>
      <c r="J23" s="45">
        <f t="shared" si="13"/>
        <v>5600</v>
      </c>
      <c r="K23" s="45">
        <f t="shared" si="13"/>
        <v>5600</v>
      </c>
      <c r="L23" s="45">
        <f t="shared" si="13"/>
        <v>5600</v>
      </c>
      <c r="M23" s="45">
        <f t="shared" si="13"/>
        <v>5600</v>
      </c>
      <c r="N23" s="45">
        <f t="shared" si="13"/>
        <v>5600</v>
      </c>
      <c r="O23" s="45">
        <f t="shared" si="13"/>
        <v>5600</v>
      </c>
      <c r="P23" s="45">
        <f t="shared" si="13"/>
        <v>5600</v>
      </c>
      <c r="Q23" s="45">
        <f t="shared" si="13"/>
        <v>5600</v>
      </c>
      <c r="R23" s="45">
        <f t="shared" si="13"/>
        <v>5600</v>
      </c>
      <c r="S23" s="45">
        <f t="shared" si="13"/>
        <v>5600</v>
      </c>
      <c r="T23" s="45">
        <f t="shared" si="13"/>
        <v>5600</v>
      </c>
      <c r="U23" s="45">
        <f t="shared" si="13"/>
        <v>5600</v>
      </c>
      <c r="V23" s="45">
        <f t="shared" si="13"/>
        <v>5600</v>
      </c>
      <c r="W23" s="45">
        <f t="shared" si="13"/>
        <v>5600</v>
      </c>
      <c r="X23" s="45">
        <f t="shared" si="13"/>
        <v>5600</v>
      </c>
      <c r="Y23" s="45">
        <f t="shared" si="13"/>
        <v>5600</v>
      </c>
      <c r="Z23" s="45">
        <f t="shared" si="13"/>
        <v>5600</v>
      </c>
      <c r="AA23" s="381">
        <f t="shared" si="12"/>
        <v>128800</v>
      </c>
    </row>
    <row r="24" spans="1:27" ht="13.5" x14ac:dyDescent="0.25">
      <c r="A24" s="182" t="str">
        <f t="shared" si="10"/>
        <v>LOMO FINO A LA PARRILLA</v>
      </c>
      <c r="B24" s="380">
        <v>28</v>
      </c>
      <c r="C24" s="45">
        <f>B8*$B$24</f>
        <v>7840</v>
      </c>
      <c r="D24" s="45">
        <f t="shared" ref="D24:Z24" si="14">C8*$B$24</f>
        <v>7840</v>
      </c>
      <c r="E24" s="45">
        <f t="shared" si="14"/>
        <v>7840</v>
      </c>
      <c r="F24" s="45">
        <f t="shared" si="14"/>
        <v>3920</v>
      </c>
      <c r="G24" s="45">
        <f t="shared" si="14"/>
        <v>7840</v>
      </c>
      <c r="H24" s="45">
        <f t="shared" si="14"/>
        <v>3920</v>
      </c>
      <c r="I24" s="45">
        <f t="shared" si="14"/>
        <v>7840</v>
      </c>
      <c r="J24" s="45">
        <f t="shared" si="14"/>
        <v>7840</v>
      </c>
      <c r="K24" s="45">
        <f t="shared" si="14"/>
        <v>7840</v>
      </c>
      <c r="L24" s="45">
        <f t="shared" si="14"/>
        <v>7840</v>
      </c>
      <c r="M24" s="45">
        <f t="shared" si="14"/>
        <v>7840</v>
      </c>
      <c r="N24" s="45">
        <f t="shared" si="14"/>
        <v>7840</v>
      </c>
      <c r="O24" s="45">
        <f t="shared" si="14"/>
        <v>7840</v>
      </c>
      <c r="P24" s="45">
        <f t="shared" si="14"/>
        <v>7840</v>
      </c>
      <c r="Q24" s="45">
        <f t="shared" si="14"/>
        <v>7840</v>
      </c>
      <c r="R24" s="45">
        <f t="shared" si="14"/>
        <v>7840</v>
      </c>
      <c r="S24" s="45">
        <f t="shared" si="14"/>
        <v>7840</v>
      </c>
      <c r="T24" s="45">
        <f t="shared" si="14"/>
        <v>7840</v>
      </c>
      <c r="U24" s="45">
        <f t="shared" si="14"/>
        <v>7840</v>
      </c>
      <c r="V24" s="45">
        <f t="shared" si="14"/>
        <v>7840</v>
      </c>
      <c r="W24" s="45">
        <f t="shared" si="14"/>
        <v>7840</v>
      </c>
      <c r="X24" s="45">
        <f t="shared" si="14"/>
        <v>7840</v>
      </c>
      <c r="Y24" s="45">
        <f t="shared" si="14"/>
        <v>7840</v>
      </c>
      <c r="Z24" s="45">
        <f t="shared" si="14"/>
        <v>7840</v>
      </c>
      <c r="AA24" s="381">
        <f t="shared" si="12"/>
        <v>180320</v>
      </c>
    </row>
    <row r="25" spans="1:27" ht="13.5" x14ac:dyDescent="0.25">
      <c r="A25" s="182" t="str">
        <f t="shared" si="10"/>
        <v>POLLO A LA PARRILLA</v>
      </c>
      <c r="B25" s="380">
        <v>15</v>
      </c>
      <c r="C25" s="45">
        <f>B9*$B$25</f>
        <v>4200</v>
      </c>
      <c r="D25" s="45">
        <f t="shared" ref="D25:Z25" si="15">C9*$B$25</f>
        <v>4200</v>
      </c>
      <c r="E25" s="45">
        <f t="shared" si="15"/>
        <v>4200</v>
      </c>
      <c r="F25" s="45">
        <f t="shared" si="15"/>
        <v>2100</v>
      </c>
      <c r="G25" s="45">
        <f t="shared" si="15"/>
        <v>4200</v>
      </c>
      <c r="H25" s="45">
        <f t="shared" si="15"/>
        <v>2100</v>
      </c>
      <c r="I25" s="45">
        <f t="shared" si="15"/>
        <v>4200</v>
      </c>
      <c r="J25" s="45">
        <f t="shared" si="15"/>
        <v>4200</v>
      </c>
      <c r="K25" s="45">
        <f t="shared" si="15"/>
        <v>4200</v>
      </c>
      <c r="L25" s="45">
        <f t="shared" si="15"/>
        <v>4200</v>
      </c>
      <c r="M25" s="45">
        <f t="shared" si="15"/>
        <v>4200</v>
      </c>
      <c r="N25" s="45">
        <f t="shared" si="15"/>
        <v>4200</v>
      </c>
      <c r="O25" s="45">
        <f t="shared" si="15"/>
        <v>4200</v>
      </c>
      <c r="P25" s="45">
        <f t="shared" si="15"/>
        <v>4200</v>
      </c>
      <c r="Q25" s="45">
        <f t="shared" si="15"/>
        <v>4200</v>
      </c>
      <c r="R25" s="45">
        <f t="shared" si="15"/>
        <v>4200</v>
      </c>
      <c r="S25" s="45">
        <f t="shared" si="15"/>
        <v>4200</v>
      </c>
      <c r="T25" s="45">
        <f t="shared" si="15"/>
        <v>4200</v>
      </c>
      <c r="U25" s="45">
        <f t="shared" si="15"/>
        <v>4200</v>
      </c>
      <c r="V25" s="45">
        <f t="shared" si="15"/>
        <v>4200</v>
      </c>
      <c r="W25" s="45">
        <f t="shared" si="15"/>
        <v>4200</v>
      </c>
      <c r="X25" s="45">
        <f t="shared" si="15"/>
        <v>4200</v>
      </c>
      <c r="Y25" s="45">
        <f t="shared" si="15"/>
        <v>4200</v>
      </c>
      <c r="Z25" s="45">
        <f t="shared" si="15"/>
        <v>4200</v>
      </c>
      <c r="AA25" s="381">
        <f t="shared" si="12"/>
        <v>96600</v>
      </c>
    </row>
    <row r="26" spans="1:27" ht="13.5" x14ac:dyDescent="0.25">
      <c r="A26" s="182" t="str">
        <f t="shared" si="10"/>
        <v>COSTILLA DE CORDERO</v>
      </c>
      <c r="B26" s="380">
        <v>18</v>
      </c>
      <c r="C26" s="45">
        <f>B10*$B$26</f>
        <v>10080</v>
      </c>
      <c r="D26" s="45">
        <f t="shared" ref="D26:Z26" si="16">C10*$B$26</f>
        <v>10080</v>
      </c>
      <c r="E26" s="45">
        <f t="shared" si="16"/>
        <v>10080</v>
      </c>
      <c r="F26" s="45">
        <f t="shared" si="16"/>
        <v>5040</v>
      </c>
      <c r="G26" s="45">
        <f t="shared" si="16"/>
        <v>10080</v>
      </c>
      <c r="H26" s="45">
        <f t="shared" si="16"/>
        <v>5040</v>
      </c>
      <c r="I26" s="45">
        <f t="shared" si="16"/>
        <v>10080</v>
      </c>
      <c r="J26" s="45">
        <f t="shared" si="16"/>
        <v>10080</v>
      </c>
      <c r="K26" s="45">
        <f t="shared" si="16"/>
        <v>10080</v>
      </c>
      <c r="L26" s="45">
        <f t="shared" si="16"/>
        <v>10080</v>
      </c>
      <c r="M26" s="45">
        <f t="shared" si="16"/>
        <v>10080</v>
      </c>
      <c r="N26" s="45">
        <f t="shared" si="16"/>
        <v>10080</v>
      </c>
      <c r="O26" s="45">
        <f t="shared" si="16"/>
        <v>10080</v>
      </c>
      <c r="P26" s="45">
        <f t="shared" si="16"/>
        <v>10080</v>
      </c>
      <c r="Q26" s="45">
        <f t="shared" si="16"/>
        <v>10080</v>
      </c>
      <c r="R26" s="45">
        <f t="shared" si="16"/>
        <v>10080</v>
      </c>
      <c r="S26" s="45">
        <f t="shared" si="16"/>
        <v>10080</v>
      </c>
      <c r="T26" s="45">
        <f t="shared" si="16"/>
        <v>10080</v>
      </c>
      <c r="U26" s="45">
        <f t="shared" si="16"/>
        <v>10080</v>
      </c>
      <c r="V26" s="45">
        <f t="shared" si="16"/>
        <v>10080</v>
      </c>
      <c r="W26" s="45">
        <f t="shared" si="16"/>
        <v>10080</v>
      </c>
      <c r="X26" s="45">
        <f t="shared" si="16"/>
        <v>10080</v>
      </c>
      <c r="Y26" s="45">
        <f t="shared" si="16"/>
        <v>10080</v>
      </c>
      <c r="Z26" s="45">
        <f t="shared" si="16"/>
        <v>10080</v>
      </c>
      <c r="AA26" s="381">
        <f t="shared" si="12"/>
        <v>231840</v>
      </c>
    </row>
    <row r="27" spans="1:27" ht="27" x14ac:dyDescent="0.25">
      <c r="A27" s="182" t="str">
        <f t="shared" si="10"/>
        <v>COSTILLA DE CHANCHO A LA PARRILLA</v>
      </c>
      <c r="B27" s="380">
        <v>25</v>
      </c>
      <c r="C27" s="45">
        <f>B11*$B$27</f>
        <v>5600</v>
      </c>
      <c r="D27" s="45">
        <f t="shared" ref="D27:Z27" si="17">C11*$B$27</f>
        <v>5600</v>
      </c>
      <c r="E27" s="45">
        <f t="shared" si="17"/>
        <v>5600</v>
      </c>
      <c r="F27" s="45">
        <f t="shared" si="17"/>
        <v>2800</v>
      </c>
      <c r="G27" s="45">
        <f t="shared" si="17"/>
        <v>5600</v>
      </c>
      <c r="H27" s="45">
        <f t="shared" si="17"/>
        <v>2800</v>
      </c>
      <c r="I27" s="45">
        <f t="shared" si="17"/>
        <v>5600</v>
      </c>
      <c r="J27" s="45">
        <f t="shared" si="17"/>
        <v>5600</v>
      </c>
      <c r="K27" s="45">
        <f t="shared" si="17"/>
        <v>5600</v>
      </c>
      <c r="L27" s="45">
        <f t="shared" si="17"/>
        <v>5600</v>
      </c>
      <c r="M27" s="45">
        <f t="shared" si="17"/>
        <v>5600</v>
      </c>
      <c r="N27" s="45">
        <f t="shared" si="17"/>
        <v>5600</v>
      </c>
      <c r="O27" s="45">
        <f t="shared" si="17"/>
        <v>5600</v>
      </c>
      <c r="P27" s="45">
        <f t="shared" si="17"/>
        <v>5600</v>
      </c>
      <c r="Q27" s="45">
        <f t="shared" si="17"/>
        <v>5600</v>
      </c>
      <c r="R27" s="45">
        <f t="shared" si="17"/>
        <v>5600</v>
      </c>
      <c r="S27" s="45">
        <f t="shared" si="17"/>
        <v>5600</v>
      </c>
      <c r="T27" s="45">
        <f t="shared" si="17"/>
        <v>5600</v>
      </c>
      <c r="U27" s="45">
        <f t="shared" si="17"/>
        <v>5600</v>
      </c>
      <c r="V27" s="45">
        <f t="shared" si="17"/>
        <v>5600</v>
      </c>
      <c r="W27" s="45">
        <f t="shared" si="17"/>
        <v>5600</v>
      </c>
      <c r="X27" s="45">
        <f t="shared" si="17"/>
        <v>5600</v>
      </c>
      <c r="Y27" s="45">
        <f t="shared" si="17"/>
        <v>5600</v>
      </c>
      <c r="Z27" s="45">
        <f t="shared" si="17"/>
        <v>5600</v>
      </c>
      <c r="AA27" s="381">
        <f t="shared" si="12"/>
        <v>128800</v>
      </c>
    </row>
    <row r="28" spans="1:27" ht="13.5" x14ac:dyDescent="0.25">
      <c r="A28" s="182" t="str">
        <f t="shared" si="10"/>
        <v>POLLO BROASTER</v>
      </c>
      <c r="B28" s="380">
        <v>12</v>
      </c>
      <c r="C28" s="45">
        <f>B12*$B$28</f>
        <v>5040</v>
      </c>
      <c r="D28" s="45">
        <f t="shared" ref="D28:Z28" si="18">C12*$B$28</f>
        <v>5040</v>
      </c>
      <c r="E28" s="45">
        <f t="shared" si="18"/>
        <v>5040</v>
      </c>
      <c r="F28" s="45">
        <f t="shared" si="18"/>
        <v>2520</v>
      </c>
      <c r="G28" s="45">
        <f t="shared" si="18"/>
        <v>5040</v>
      </c>
      <c r="H28" s="45">
        <f t="shared" si="18"/>
        <v>2520</v>
      </c>
      <c r="I28" s="45">
        <f t="shared" si="18"/>
        <v>5040</v>
      </c>
      <c r="J28" s="45">
        <f t="shared" si="18"/>
        <v>5040</v>
      </c>
      <c r="K28" s="45">
        <f t="shared" si="18"/>
        <v>5040</v>
      </c>
      <c r="L28" s="45">
        <f t="shared" si="18"/>
        <v>5040</v>
      </c>
      <c r="M28" s="45">
        <f t="shared" si="18"/>
        <v>5040</v>
      </c>
      <c r="N28" s="45">
        <f t="shared" si="18"/>
        <v>5040</v>
      </c>
      <c r="O28" s="45">
        <f t="shared" si="18"/>
        <v>5040</v>
      </c>
      <c r="P28" s="45">
        <f t="shared" si="18"/>
        <v>5040</v>
      </c>
      <c r="Q28" s="45">
        <f t="shared" si="18"/>
        <v>5040</v>
      </c>
      <c r="R28" s="45">
        <f t="shared" si="18"/>
        <v>5040</v>
      </c>
      <c r="S28" s="45">
        <f t="shared" si="18"/>
        <v>5040</v>
      </c>
      <c r="T28" s="45">
        <f t="shared" si="18"/>
        <v>5040</v>
      </c>
      <c r="U28" s="45">
        <f t="shared" si="18"/>
        <v>5040</v>
      </c>
      <c r="V28" s="45">
        <f t="shared" si="18"/>
        <v>5040</v>
      </c>
      <c r="W28" s="45">
        <f t="shared" si="18"/>
        <v>5040</v>
      </c>
      <c r="X28" s="45">
        <f t="shared" si="18"/>
        <v>5040</v>
      </c>
      <c r="Y28" s="45">
        <f t="shared" si="18"/>
        <v>5040</v>
      </c>
      <c r="Z28" s="45">
        <f t="shared" si="18"/>
        <v>5040</v>
      </c>
      <c r="AA28" s="381">
        <f t="shared" si="12"/>
        <v>115920</v>
      </c>
    </row>
    <row r="29" spans="1:27" ht="13.5" x14ac:dyDescent="0.25">
      <c r="A29" s="182" t="str">
        <f t="shared" si="10"/>
        <v>SALCHIPAPA</v>
      </c>
      <c r="B29" s="380">
        <v>6</v>
      </c>
      <c r="C29" s="45">
        <f>B13*$B$29</f>
        <v>4200</v>
      </c>
      <c r="D29" s="45">
        <f t="shared" ref="D29:Z29" si="19">C13*$B$29</f>
        <v>4200</v>
      </c>
      <c r="E29" s="45">
        <f t="shared" si="19"/>
        <v>4200</v>
      </c>
      <c r="F29" s="45">
        <f t="shared" si="19"/>
        <v>2100</v>
      </c>
      <c r="G29" s="45">
        <f t="shared" si="19"/>
        <v>4200</v>
      </c>
      <c r="H29" s="45">
        <f t="shared" si="19"/>
        <v>2100</v>
      </c>
      <c r="I29" s="45">
        <f t="shared" si="19"/>
        <v>4200</v>
      </c>
      <c r="J29" s="45">
        <f t="shared" si="19"/>
        <v>4200</v>
      </c>
      <c r="K29" s="45">
        <f t="shared" si="19"/>
        <v>4200</v>
      </c>
      <c r="L29" s="45">
        <f t="shared" si="19"/>
        <v>4200</v>
      </c>
      <c r="M29" s="45">
        <f t="shared" si="19"/>
        <v>4200</v>
      </c>
      <c r="N29" s="45">
        <f t="shared" si="19"/>
        <v>4200</v>
      </c>
      <c r="O29" s="45">
        <f t="shared" si="19"/>
        <v>4200</v>
      </c>
      <c r="P29" s="45">
        <f t="shared" si="19"/>
        <v>4200</v>
      </c>
      <c r="Q29" s="45">
        <f t="shared" si="19"/>
        <v>4200</v>
      </c>
      <c r="R29" s="45">
        <f t="shared" si="19"/>
        <v>4200</v>
      </c>
      <c r="S29" s="45">
        <f t="shared" si="19"/>
        <v>4200</v>
      </c>
      <c r="T29" s="45">
        <f t="shared" si="19"/>
        <v>4200</v>
      </c>
      <c r="U29" s="45">
        <f t="shared" si="19"/>
        <v>4200</v>
      </c>
      <c r="V29" s="45">
        <f t="shared" si="19"/>
        <v>4200</v>
      </c>
      <c r="W29" s="45">
        <f t="shared" si="19"/>
        <v>4200</v>
      </c>
      <c r="X29" s="45">
        <f t="shared" si="19"/>
        <v>4200</v>
      </c>
      <c r="Y29" s="45">
        <f t="shared" si="19"/>
        <v>4200</v>
      </c>
      <c r="Z29" s="45">
        <f t="shared" si="19"/>
        <v>4200</v>
      </c>
      <c r="AA29" s="381">
        <f t="shared" si="12"/>
        <v>96600</v>
      </c>
    </row>
    <row r="30" spans="1:27" ht="13.5" x14ac:dyDescent="0.25">
      <c r="A30" s="182" t="str">
        <f t="shared" si="10"/>
        <v>MOLLEJITAS</v>
      </c>
      <c r="B30" s="380">
        <v>9</v>
      </c>
      <c r="C30" s="45">
        <f>B14*$B$30</f>
        <v>5040</v>
      </c>
      <c r="D30" s="45">
        <f t="shared" ref="D30:Z30" si="20">C14*$B$30</f>
        <v>5040</v>
      </c>
      <c r="E30" s="45">
        <f t="shared" si="20"/>
        <v>5040</v>
      </c>
      <c r="F30" s="45">
        <f t="shared" si="20"/>
        <v>2520</v>
      </c>
      <c r="G30" s="45">
        <f t="shared" si="20"/>
        <v>5040</v>
      </c>
      <c r="H30" s="45">
        <f t="shared" si="20"/>
        <v>2520</v>
      </c>
      <c r="I30" s="45">
        <f t="shared" si="20"/>
        <v>5040</v>
      </c>
      <c r="J30" s="45">
        <f t="shared" si="20"/>
        <v>5040</v>
      </c>
      <c r="K30" s="45">
        <f t="shared" si="20"/>
        <v>5040</v>
      </c>
      <c r="L30" s="45">
        <f t="shared" si="20"/>
        <v>5040</v>
      </c>
      <c r="M30" s="45">
        <f t="shared" si="20"/>
        <v>5040</v>
      </c>
      <c r="N30" s="45">
        <f t="shared" si="20"/>
        <v>5040</v>
      </c>
      <c r="O30" s="45">
        <f t="shared" si="20"/>
        <v>5040</v>
      </c>
      <c r="P30" s="45">
        <f t="shared" si="20"/>
        <v>5040</v>
      </c>
      <c r="Q30" s="45">
        <f t="shared" si="20"/>
        <v>5040</v>
      </c>
      <c r="R30" s="45">
        <f t="shared" si="20"/>
        <v>5040</v>
      </c>
      <c r="S30" s="45">
        <f t="shared" si="20"/>
        <v>5040</v>
      </c>
      <c r="T30" s="45">
        <f t="shared" si="20"/>
        <v>5040</v>
      </c>
      <c r="U30" s="45">
        <f t="shared" si="20"/>
        <v>5040</v>
      </c>
      <c r="V30" s="45">
        <f t="shared" si="20"/>
        <v>5040</v>
      </c>
      <c r="W30" s="45">
        <f t="shared" si="20"/>
        <v>5040</v>
      </c>
      <c r="X30" s="45">
        <f t="shared" si="20"/>
        <v>5040</v>
      </c>
      <c r="Y30" s="45">
        <f t="shared" si="20"/>
        <v>5040</v>
      </c>
      <c r="Z30" s="45">
        <f t="shared" si="20"/>
        <v>5040</v>
      </c>
      <c r="AA30" s="381">
        <f t="shared" si="12"/>
        <v>115920</v>
      </c>
    </row>
    <row r="31" spans="1:27" ht="13.5" x14ac:dyDescent="0.3">
      <c r="A31" s="47" t="s">
        <v>122</v>
      </c>
      <c r="B31" s="48"/>
      <c r="C31" s="48">
        <f>SUM(C20:C30)</f>
        <v>66920</v>
      </c>
      <c r="D31" s="48">
        <f t="shared" ref="D31:Z31" si="21">SUM(D20:D30)</f>
        <v>66920</v>
      </c>
      <c r="E31" s="48">
        <f t="shared" si="21"/>
        <v>66920</v>
      </c>
      <c r="F31" s="48">
        <f t="shared" si="21"/>
        <v>33460</v>
      </c>
      <c r="G31" s="48">
        <f t="shared" si="21"/>
        <v>66920</v>
      </c>
      <c r="H31" s="48">
        <f t="shared" si="21"/>
        <v>33460</v>
      </c>
      <c r="I31" s="48">
        <f t="shared" si="21"/>
        <v>66920</v>
      </c>
      <c r="J31" s="48">
        <f t="shared" si="21"/>
        <v>66920</v>
      </c>
      <c r="K31" s="48">
        <f t="shared" si="21"/>
        <v>66920</v>
      </c>
      <c r="L31" s="48">
        <f t="shared" si="21"/>
        <v>66920</v>
      </c>
      <c r="M31" s="48">
        <f t="shared" si="21"/>
        <v>66920</v>
      </c>
      <c r="N31" s="48">
        <f t="shared" si="21"/>
        <v>66920</v>
      </c>
      <c r="O31" s="48">
        <f t="shared" si="21"/>
        <v>66920</v>
      </c>
      <c r="P31" s="48">
        <f t="shared" si="21"/>
        <v>66920</v>
      </c>
      <c r="Q31" s="48">
        <f t="shared" si="21"/>
        <v>66920</v>
      </c>
      <c r="R31" s="48">
        <f t="shared" si="21"/>
        <v>66920</v>
      </c>
      <c r="S31" s="48">
        <f t="shared" si="21"/>
        <v>66920</v>
      </c>
      <c r="T31" s="48">
        <f t="shared" si="21"/>
        <v>66920</v>
      </c>
      <c r="U31" s="48">
        <f t="shared" si="21"/>
        <v>66920</v>
      </c>
      <c r="V31" s="48">
        <f t="shared" si="21"/>
        <v>66920</v>
      </c>
      <c r="W31" s="48">
        <f t="shared" si="21"/>
        <v>66920</v>
      </c>
      <c r="X31" s="48">
        <f t="shared" si="21"/>
        <v>66920</v>
      </c>
      <c r="Y31" s="48">
        <f t="shared" si="21"/>
        <v>66920</v>
      </c>
      <c r="Z31" s="48">
        <f t="shared" si="21"/>
        <v>66920</v>
      </c>
      <c r="AA31" s="48">
        <f>SUM(AA20:AA30)</f>
        <v>1539160</v>
      </c>
    </row>
    <row r="33" spans="2:2" x14ac:dyDescent="0.25">
      <c r="B33" s="84"/>
    </row>
  </sheetData>
  <mergeCells count="2">
    <mergeCell ref="A1:C1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zoomScale="120" zoomScaleNormal="120" workbookViewId="0">
      <selection activeCell="I18" sqref="I18"/>
    </sheetView>
  </sheetViews>
  <sheetFormatPr baseColWidth="10" defaultColWidth="11.42578125" defaultRowHeight="12.75" x14ac:dyDescent="0.25"/>
  <cols>
    <col min="1" max="1" width="40.7109375" style="29" customWidth="1"/>
    <col min="2" max="2" width="10.140625" style="29" bestFit="1" customWidth="1"/>
    <col min="3" max="3" width="9.7109375" style="29" bestFit="1" customWidth="1"/>
    <col min="4" max="4" width="8.42578125" style="29" bestFit="1" customWidth="1"/>
    <col min="5" max="5" width="10.85546875" style="29" bestFit="1" customWidth="1"/>
    <col min="6" max="6" width="7.7109375" style="29" bestFit="1" customWidth="1"/>
    <col min="7" max="7" width="12.28515625" style="29" bestFit="1" customWidth="1"/>
    <col min="8" max="8" width="9.42578125" style="29" bestFit="1" customWidth="1"/>
    <col min="9" max="9" width="11" style="29" bestFit="1" customWidth="1"/>
    <col min="10" max="10" width="15.85546875" style="29" bestFit="1" customWidth="1"/>
    <col min="11" max="16384" width="11.42578125" style="29"/>
  </cols>
  <sheetData>
    <row r="2" spans="1:15" ht="13.5" x14ac:dyDescent="0.3">
      <c r="A2" s="411" t="s">
        <v>123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5" x14ac:dyDescent="0.25">
      <c r="D3" s="330" t="s">
        <v>124</v>
      </c>
      <c r="E3" s="330" t="s">
        <v>125</v>
      </c>
      <c r="F3" s="330" t="s">
        <v>126</v>
      </c>
      <c r="G3" s="330" t="s">
        <v>127</v>
      </c>
      <c r="J3" s="29" t="s">
        <v>128</v>
      </c>
    </row>
    <row r="4" spans="1:15" ht="27" x14ac:dyDescent="0.25">
      <c r="A4" s="183" t="s">
        <v>129</v>
      </c>
      <c r="B4" s="183" t="s">
        <v>130</v>
      </c>
      <c r="C4" s="184" t="s">
        <v>131</v>
      </c>
      <c r="D4" s="355">
        <v>0.12</v>
      </c>
      <c r="E4" s="355">
        <v>0.1</v>
      </c>
      <c r="F4" s="356">
        <v>1.6E-2</v>
      </c>
      <c r="G4" s="356">
        <v>1.1900000000000001E-2</v>
      </c>
      <c r="H4" s="184" t="s">
        <v>132</v>
      </c>
      <c r="I4" s="184" t="s">
        <v>133</v>
      </c>
      <c r="J4" s="184" t="s">
        <v>134</v>
      </c>
      <c r="K4" s="184" t="s">
        <v>135</v>
      </c>
    </row>
    <row r="5" spans="1:15" ht="15" x14ac:dyDescent="0.25">
      <c r="A5" s="307" t="s">
        <v>136</v>
      </c>
      <c r="B5" s="330">
        <v>1</v>
      </c>
      <c r="C5" s="26">
        <v>1100</v>
      </c>
      <c r="D5" s="26"/>
      <c r="E5" s="26">
        <f>+C5*$E$4</f>
        <v>110</v>
      </c>
      <c r="F5" s="26">
        <f>+C5*$F$4</f>
        <v>17.600000000000001</v>
      </c>
      <c r="G5" s="26">
        <f>+C5*$G$4</f>
        <v>13.090000000000002</v>
      </c>
      <c r="H5" s="26">
        <f>+E5+F5+G5</f>
        <v>140.69</v>
      </c>
      <c r="I5" s="26">
        <f>+C5-H5</f>
        <v>959.31</v>
      </c>
      <c r="J5" s="31">
        <f>+C5*9%</f>
        <v>99</v>
      </c>
      <c r="K5" s="26">
        <f>+C5+J5</f>
        <v>1199</v>
      </c>
      <c r="M5" s="29">
        <f>+C5*9%</f>
        <v>99</v>
      </c>
      <c r="N5" s="354">
        <f>+M5+C5</f>
        <v>1199</v>
      </c>
      <c r="O5" s="29">
        <f>+N5*B5</f>
        <v>1199</v>
      </c>
    </row>
    <row r="6" spans="1:15" ht="15" x14ac:dyDescent="0.25">
      <c r="A6" s="307" t="s">
        <v>137</v>
      </c>
      <c r="B6" s="330">
        <v>2</v>
      </c>
      <c r="C6" s="26">
        <v>850</v>
      </c>
      <c r="D6" s="26"/>
      <c r="E6" s="26">
        <f>+C6*$E$4</f>
        <v>85</v>
      </c>
      <c r="F6" s="26">
        <f>+C6*$F$4</f>
        <v>13.6</v>
      </c>
      <c r="G6" s="26">
        <f>+C6*$G$4</f>
        <v>10.115</v>
      </c>
      <c r="H6" s="26">
        <f>+E6+F6+G6</f>
        <v>108.71499999999999</v>
      </c>
      <c r="I6" s="26">
        <f>+C6-H6</f>
        <v>741.28499999999997</v>
      </c>
      <c r="J6" s="31">
        <f>+C6*9%</f>
        <v>76.5</v>
      </c>
      <c r="K6" s="26">
        <f>+C6+J6</f>
        <v>926.5</v>
      </c>
      <c r="N6" s="354"/>
    </row>
    <row r="7" spans="1:15" ht="15" x14ac:dyDescent="0.25">
      <c r="A7" s="307" t="s">
        <v>138</v>
      </c>
      <c r="B7" s="330">
        <v>3</v>
      </c>
      <c r="C7" s="26">
        <v>850</v>
      </c>
      <c r="D7" s="26">
        <f>+D4*C7</f>
        <v>102</v>
      </c>
      <c r="E7" s="26"/>
      <c r="F7" s="26"/>
      <c r="G7" s="26"/>
      <c r="H7" s="26">
        <f>+D7</f>
        <v>102</v>
      </c>
      <c r="I7" s="26">
        <f>+C7-H7</f>
        <v>748</v>
      </c>
      <c r="J7" s="31">
        <f>+C7*9%</f>
        <v>76.5</v>
      </c>
      <c r="K7" s="26">
        <f>+J7+C7</f>
        <v>926.5</v>
      </c>
      <c r="M7" s="29">
        <f>+C7*9%</f>
        <v>76.5</v>
      </c>
      <c r="N7" s="354">
        <f>+M7+C7</f>
        <v>926.5</v>
      </c>
      <c r="O7" s="29">
        <f>+N7*B7</f>
        <v>2779.5</v>
      </c>
    </row>
    <row r="8" spans="1:15" ht="13.5" x14ac:dyDescent="0.3">
      <c r="A8" s="185" t="s">
        <v>139</v>
      </c>
      <c r="B8" s="185"/>
      <c r="C8" s="186">
        <f>+SUM(C5:C7)</f>
        <v>2800</v>
      </c>
      <c r="D8" s="186">
        <f t="shared" ref="D8:K8" si="0">+SUM(D5:D7)</f>
        <v>102</v>
      </c>
      <c r="E8" s="186">
        <f t="shared" si="0"/>
        <v>195</v>
      </c>
      <c r="F8" s="186">
        <f t="shared" si="0"/>
        <v>31.200000000000003</v>
      </c>
      <c r="G8" s="186">
        <f t="shared" si="0"/>
        <v>23.205000000000002</v>
      </c>
      <c r="H8" s="186">
        <f t="shared" si="0"/>
        <v>351.40499999999997</v>
      </c>
      <c r="I8" s="186">
        <f t="shared" si="0"/>
        <v>2448.5949999999998</v>
      </c>
      <c r="J8" s="186">
        <f t="shared" si="0"/>
        <v>252</v>
      </c>
      <c r="K8" s="186">
        <f t="shared" si="0"/>
        <v>3052</v>
      </c>
      <c r="N8" s="354">
        <f>+N7+N5</f>
        <v>2125.5</v>
      </c>
      <c r="O8" s="29">
        <f>+O7+O5</f>
        <v>3978.5</v>
      </c>
    </row>
    <row r="9" spans="1:15" ht="13.5" x14ac:dyDescent="0.3">
      <c r="A9" s="187" t="s">
        <v>140</v>
      </c>
      <c r="B9" s="188" t="s">
        <v>67</v>
      </c>
    </row>
    <row r="12" spans="1:15" ht="13.5" x14ac:dyDescent="0.3">
      <c r="A12" s="411" t="s">
        <v>141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5" x14ac:dyDescent="0.25">
      <c r="D13" s="330" t="s">
        <v>124</v>
      </c>
      <c r="E13" s="330" t="s">
        <v>125</v>
      </c>
      <c r="F13" s="330" t="s">
        <v>126</v>
      </c>
      <c r="G13" s="330" t="s">
        <v>127</v>
      </c>
      <c r="J13" s="29" t="s">
        <v>128</v>
      </c>
    </row>
    <row r="14" spans="1:15" ht="27" x14ac:dyDescent="0.25">
      <c r="A14" s="183" t="s">
        <v>129</v>
      </c>
      <c r="B14" s="183" t="s">
        <v>130</v>
      </c>
      <c r="C14" s="184" t="s">
        <v>131</v>
      </c>
      <c r="D14" s="355">
        <v>0.12</v>
      </c>
      <c r="E14" s="355">
        <v>0.1</v>
      </c>
      <c r="F14" s="356">
        <v>1.6E-2</v>
      </c>
      <c r="G14" s="356">
        <v>1.1900000000000001E-2</v>
      </c>
      <c r="H14" s="184" t="s">
        <v>132</v>
      </c>
      <c r="I14" s="184" t="s">
        <v>133</v>
      </c>
      <c r="J14" s="184" t="s">
        <v>134</v>
      </c>
      <c r="K14" s="184" t="s">
        <v>135</v>
      </c>
    </row>
    <row r="15" spans="1:15" ht="15" x14ac:dyDescent="0.25">
      <c r="A15" s="307" t="s">
        <v>142</v>
      </c>
      <c r="B15" s="330">
        <v>1</v>
      </c>
      <c r="C15" s="26">
        <v>900</v>
      </c>
      <c r="D15" s="26"/>
      <c r="E15" s="26">
        <f>+C15*E14</f>
        <v>90</v>
      </c>
      <c r="F15" s="26">
        <f>+C15*F14</f>
        <v>14.4</v>
      </c>
      <c r="G15" s="26">
        <f>+C15*G14</f>
        <v>10.71</v>
      </c>
      <c r="H15" s="26">
        <f>+E15+F15+G15</f>
        <v>115.11000000000001</v>
      </c>
      <c r="I15" s="26">
        <f>+C15-H15</f>
        <v>784.89</v>
      </c>
      <c r="J15" s="31">
        <f>+C15*9%</f>
        <v>81</v>
      </c>
      <c r="K15" s="26">
        <f>+C15+J15</f>
        <v>981</v>
      </c>
    </row>
    <row r="16" spans="1:15" ht="13.5" x14ac:dyDescent="0.3">
      <c r="A16" s="185" t="s">
        <v>139</v>
      </c>
      <c r="B16" s="185"/>
      <c r="C16" s="186">
        <f t="shared" ref="C16:K16" si="1">+SUM(C15:C15)</f>
        <v>900</v>
      </c>
      <c r="D16" s="186">
        <f t="shared" si="1"/>
        <v>0</v>
      </c>
      <c r="E16" s="186">
        <f t="shared" si="1"/>
        <v>90</v>
      </c>
      <c r="F16" s="186">
        <f t="shared" si="1"/>
        <v>14.4</v>
      </c>
      <c r="G16" s="186">
        <f t="shared" si="1"/>
        <v>10.71</v>
      </c>
      <c r="H16" s="186">
        <f t="shared" si="1"/>
        <v>115.11000000000001</v>
      </c>
      <c r="I16" s="186">
        <f t="shared" si="1"/>
        <v>784.89</v>
      </c>
      <c r="J16" s="186">
        <f t="shared" si="1"/>
        <v>81</v>
      </c>
      <c r="K16" s="186">
        <f t="shared" si="1"/>
        <v>981</v>
      </c>
    </row>
    <row r="17" spans="1:10" ht="13.5" x14ac:dyDescent="0.3">
      <c r="A17" s="187" t="s">
        <v>140</v>
      </c>
      <c r="B17" s="188" t="s">
        <v>67</v>
      </c>
    </row>
    <row r="21" spans="1:10" ht="18.75" x14ac:dyDescent="0.3">
      <c r="G21" s="387" t="s">
        <v>143</v>
      </c>
      <c r="H21" s="387"/>
      <c r="I21" s="387"/>
      <c r="J21" s="388">
        <f>K8+K16</f>
        <v>4033</v>
      </c>
    </row>
  </sheetData>
  <mergeCells count="2">
    <mergeCell ref="A2:K2"/>
    <mergeCell ref="A12:K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baseColWidth="10" defaultColWidth="11.42578125" defaultRowHeight="12.75" x14ac:dyDescent="0.25"/>
  <cols>
    <col min="1" max="1" width="25" style="29" customWidth="1"/>
    <col min="2" max="16384" width="11.42578125" style="29"/>
  </cols>
  <sheetData>
    <row r="1" spans="1:5" ht="13.5" x14ac:dyDescent="0.3">
      <c r="A1" s="411" t="s">
        <v>144</v>
      </c>
      <c r="B1" s="411"/>
      <c r="C1" s="411"/>
      <c r="D1" s="411"/>
      <c r="E1" s="411"/>
    </row>
    <row r="3" spans="1:5" x14ac:dyDescent="0.25">
      <c r="A3" s="412" t="s">
        <v>1</v>
      </c>
      <c r="B3" s="412" t="s">
        <v>2</v>
      </c>
      <c r="C3" s="412" t="s">
        <v>3</v>
      </c>
      <c r="D3" s="412" t="s">
        <v>4</v>
      </c>
      <c r="E3" s="412" t="s">
        <v>5</v>
      </c>
    </row>
    <row r="4" spans="1:5" x14ac:dyDescent="0.25">
      <c r="A4" s="412"/>
      <c r="B4" s="412"/>
      <c r="C4" s="412"/>
      <c r="D4" s="412"/>
      <c r="E4" s="412"/>
    </row>
    <row r="5" spans="1:5" ht="13.5" x14ac:dyDescent="0.3">
      <c r="A5" s="190" t="s">
        <v>145</v>
      </c>
      <c r="B5" s="191"/>
      <c r="C5" s="192"/>
      <c r="D5" s="192"/>
      <c r="E5" s="193">
        <f>SUM(E7:E10)</f>
        <v>440</v>
      </c>
    </row>
    <row r="6" spans="1:5" x14ac:dyDescent="0.25">
      <c r="A6" s="311" t="s">
        <v>146</v>
      </c>
      <c r="B6" s="328">
        <v>900</v>
      </c>
      <c r="C6" s="319">
        <v>1</v>
      </c>
      <c r="D6" s="330" t="s">
        <v>10</v>
      </c>
      <c r="E6" s="52">
        <f>B6*C6</f>
        <v>900</v>
      </c>
    </row>
    <row r="7" spans="1:5" ht="15" x14ac:dyDescent="0.25">
      <c r="A7" s="311" t="s">
        <v>147</v>
      </c>
      <c r="B7" s="326">
        <v>60</v>
      </c>
      <c r="C7" s="330">
        <v>1</v>
      </c>
      <c r="D7" s="330" t="s">
        <v>10</v>
      </c>
      <c r="E7" s="52">
        <f>B7*C7</f>
        <v>60</v>
      </c>
    </row>
    <row r="8" spans="1:5" ht="15" x14ac:dyDescent="0.25">
      <c r="A8" s="311" t="s">
        <v>148</v>
      </c>
      <c r="B8" s="326">
        <v>110</v>
      </c>
      <c r="C8" s="330">
        <v>1</v>
      </c>
      <c r="D8" s="330" t="s">
        <v>10</v>
      </c>
      <c r="E8" s="52">
        <f>B8*C8</f>
        <v>110</v>
      </c>
    </row>
    <row r="9" spans="1:5" ht="15" x14ac:dyDescent="0.25">
      <c r="A9" s="311" t="s">
        <v>149</v>
      </c>
      <c r="B9" s="326">
        <v>40</v>
      </c>
      <c r="C9" s="330">
        <v>3</v>
      </c>
      <c r="D9" s="330" t="s">
        <v>10</v>
      </c>
      <c r="E9" s="52">
        <f>B9*C9</f>
        <v>120</v>
      </c>
    </row>
    <row r="10" spans="1:5" ht="15" x14ac:dyDescent="0.25">
      <c r="A10" s="311" t="s">
        <v>150</v>
      </c>
      <c r="B10" s="326">
        <v>150</v>
      </c>
      <c r="C10" s="330">
        <v>1</v>
      </c>
      <c r="D10" s="330" t="s">
        <v>10</v>
      </c>
      <c r="E10" s="52">
        <f>B10*C10</f>
        <v>150</v>
      </c>
    </row>
    <row r="11" spans="1:5" ht="13.5" x14ac:dyDescent="0.3">
      <c r="A11" s="329" t="s">
        <v>151</v>
      </c>
      <c r="B11" s="191"/>
      <c r="C11" s="192"/>
      <c r="D11" s="192"/>
      <c r="E11" s="193">
        <f>SUM(E12:E13)</f>
        <v>280</v>
      </c>
    </row>
    <row r="12" spans="1:5" ht="15" x14ac:dyDescent="0.25">
      <c r="A12" s="311" t="s">
        <v>152</v>
      </c>
      <c r="B12" s="312">
        <v>250</v>
      </c>
      <c r="C12" s="330">
        <v>1</v>
      </c>
      <c r="D12" s="25" t="s">
        <v>10</v>
      </c>
      <c r="E12" s="52">
        <f>B12*C12</f>
        <v>250</v>
      </c>
    </row>
    <row r="13" spans="1:5" ht="15" x14ac:dyDescent="0.25">
      <c r="A13" s="311" t="s">
        <v>153</v>
      </c>
      <c r="B13" s="326">
        <v>30</v>
      </c>
      <c r="C13" s="330">
        <v>1</v>
      </c>
      <c r="D13" s="330" t="s">
        <v>154</v>
      </c>
      <c r="E13" s="52">
        <f>B13*C13</f>
        <v>30</v>
      </c>
    </row>
    <row r="14" spans="1:5" ht="13.5" x14ac:dyDescent="0.3">
      <c r="A14" s="138" t="s">
        <v>155</v>
      </c>
      <c r="B14" s="194"/>
      <c r="C14" s="393"/>
      <c r="D14" s="393"/>
      <c r="E14" s="189">
        <f>E5+E11</f>
        <v>720</v>
      </c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ignoredErrors>
    <ignoredError sqref="E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pane xSplit="3" ySplit="3" topLeftCell="D15" activePane="bottomRight" state="frozenSplit"/>
      <selection pane="topRight" activeCell="D1" sqref="D1"/>
      <selection pane="bottomLeft" activeCell="A3" sqref="A3"/>
      <selection pane="bottomRight" sqref="A1:H1"/>
    </sheetView>
  </sheetViews>
  <sheetFormatPr baseColWidth="10" defaultColWidth="9.140625" defaultRowHeight="15" x14ac:dyDescent="0.25"/>
  <cols>
    <col min="1" max="1" width="6.140625" customWidth="1"/>
    <col min="2" max="2" width="11.42578125" customWidth="1"/>
    <col min="3" max="3" width="25.28515625" customWidth="1"/>
    <col min="4" max="5" width="11.85546875" bestFit="1" customWidth="1"/>
    <col min="6" max="6" width="14.42578125" customWidth="1"/>
    <col min="7" max="7" width="11.42578125" customWidth="1"/>
    <col min="8" max="8" width="15.7109375" customWidth="1"/>
    <col min="9" max="9" width="12" bestFit="1" customWidth="1"/>
    <col min="10" max="256" width="11.42578125" customWidth="1"/>
  </cols>
  <sheetData>
    <row r="1" spans="1:9" ht="15.75" x14ac:dyDescent="0.3">
      <c r="A1" s="413" t="s">
        <v>156</v>
      </c>
      <c r="B1" s="413"/>
      <c r="C1" s="413"/>
      <c r="D1" s="413"/>
      <c r="E1" s="413"/>
      <c r="F1" s="413"/>
      <c r="G1" s="413"/>
      <c r="H1" s="413"/>
    </row>
    <row r="2" spans="1:9" ht="15.75" x14ac:dyDescent="0.3">
      <c r="A2" s="395"/>
      <c r="B2" s="395"/>
      <c r="C2" s="395"/>
      <c r="D2" s="395"/>
      <c r="E2" s="395"/>
      <c r="F2" s="395"/>
      <c r="G2" s="395"/>
      <c r="H2" s="395"/>
    </row>
    <row r="3" spans="1:9" ht="27" x14ac:dyDescent="0.25">
      <c r="A3" s="313" t="s">
        <v>3</v>
      </c>
      <c r="B3" s="313" t="s">
        <v>4</v>
      </c>
      <c r="C3" s="313" t="s">
        <v>129</v>
      </c>
      <c r="D3" s="313" t="s">
        <v>2</v>
      </c>
      <c r="E3" s="313" t="s">
        <v>66</v>
      </c>
      <c r="F3" s="313" t="s">
        <v>157</v>
      </c>
      <c r="G3" s="313" t="s">
        <v>158</v>
      </c>
      <c r="H3" s="313" t="s">
        <v>159</v>
      </c>
    </row>
    <row r="4" spans="1:9" x14ac:dyDescent="0.25">
      <c r="A4" s="54"/>
      <c r="B4" s="54"/>
      <c r="C4" s="196" t="s">
        <v>160</v>
      </c>
      <c r="D4" s="314"/>
      <c r="E4" s="314"/>
      <c r="F4" s="314"/>
      <c r="G4" s="314"/>
      <c r="H4" s="197">
        <f>SUM(H5:H14)</f>
        <v>109.6875</v>
      </c>
    </row>
    <row r="5" spans="1:9" x14ac:dyDescent="0.25">
      <c r="A5" s="317">
        <f>+'INVERSION TOTAL'!C8</f>
        <v>2</v>
      </c>
      <c r="B5" s="8" t="s">
        <v>10</v>
      </c>
      <c r="C5" s="7" t="str">
        <f>+'INVERSION TOTAL'!A8</f>
        <v>PARRILLA</v>
      </c>
      <c r="D5" s="19">
        <f>+'INVERSION TOTAL'!B8</f>
        <v>1800</v>
      </c>
      <c r="E5" s="19">
        <f t="shared" ref="E5:E14" si="0">D5*A5</f>
        <v>3600</v>
      </c>
      <c r="F5" s="316">
        <v>0.25</v>
      </c>
      <c r="G5" s="53">
        <v>48</v>
      </c>
      <c r="H5" s="55">
        <f>(E5/G5)*F5</f>
        <v>18.75</v>
      </c>
      <c r="I5" s="331"/>
    </row>
    <row r="6" spans="1:9" x14ac:dyDescent="0.25">
      <c r="A6" s="317">
        <f>+'INVERSION TOTAL'!C9</f>
        <v>1</v>
      </c>
      <c r="B6" s="8" t="s">
        <v>10</v>
      </c>
      <c r="C6" s="7" t="str">
        <f>+'INVERSION TOTAL'!A9</f>
        <v>SET DE CUCHILLOS</v>
      </c>
      <c r="D6" s="19">
        <f>+'INVERSION TOTAL'!B9</f>
        <v>50</v>
      </c>
      <c r="E6" s="19">
        <f t="shared" si="0"/>
        <v>50</v>
      </c>
      <c r="F6" s="316">
        <v>0.25</v>
      </c>
      <c r="G6" s="53">
        <v>48</v>
      </c>
      <c r="H6" s="55">
        <f t="shared" ref="H6:H14" si="1">(E6/G6)*F6</f>
        <v>0.26041666666666669</v>
      </c>
    </row>
    <row r="7" spans="1:9" x14ac:dyDescent="0.25">
      <c r="A7" s="317">
        <f>+'INVERSION TOTAL'!C10</f>
        <v>1</v>
      </c>
      <c r="B7" s="8" t="s">
        <v>10</v>
      </c>
      <c r="C7" s="7" t="str">
        <f>+'INVERSION TOTAL'!A10</f>
        <v>COCINA INDUSTRIAL</v>
      </c>
      <c r="D7" s="19">
        <f>+'INVERSION TOTAL'!B10</f>
        <v>700</v>
      </c>
      <c r="E7" s="19">
        <f t="shared" si="0"/>
        <v>700</v>
      </c>
      <c r="F7" s="316">
        <v>0.25</v>
      </c>
      <c r="G7" s="53">
        <v>48</v>
      </c>
      <c r="H7" s="55">
        <f t="shared" si="1"/>
        <v>3.6458333333333335</v>
      </c>
    </row>
    <row r="8" spans="1:9" x14ac:dyDescent="0.25">
      <c r="A8" s="317">
        <v>3</v>
      </c>
      <c r="B8" s="8" t="s">
        <v>10</v>
      </c>
      <c r="C8" s="7" t="str">
        <f>+'INVERSION TOTAL'!A11</f>
        <v>CONGELADORA</v>
      </c>
      <c r="D8" s="19">
        <f>+'INVERSION TOTAL'!B11</f>
        <v>1800</v>
      </c>
      <c r="E8" s="19">
        <f t="shared" si="0"/>
        <v>5400</v>
      </c>
      <c r="F8" s="316">
        <v>0.25</v>
      </c>
      <c r="G8" s="53">
        <v>48</v>
      </c>
      <c r="H8" s="55">
        <f t="shared" si="1"/>
        <v>28.125</v>
      </c>
    </row>
    <row r="9" spans="1:9" x14ac:dyDescent="0.25">
      <c r="A9" s="317">
        <f>+'INVERSION TOTAL'!C12</f>
        <v>1</v>
      </c>
      <c r="B9" s="8" t="s">
        <v>10</v>
      </c>
      <c r="C9" s="7" t="str">
        <f>+'INVERSION TOTAL'!A12</f>
        <v>EXHIBIDORA</v>
      </c>
      <c r="D9" s="19">
        <f>+'INVERSION TOTAL'!B12</f>
        <v>4200</v>
      </c>
      <c r="E9" s="19">
        <f t="shared" si="0"/>
        <v>4200</v>
      </c>
      <c r="F9" s="316">
        <v>0.25</v>
      </c>
      <c r="G9" s="53">
        <v>48</v>
      </c>
      <c r="H9" s="55">
        <f t="shared" si="1"/>
        <v>21.875</v>
      </c>
    </row>
    <row r="10" spans="1:9" x14ac:dyDescent="0.25">
      <c r="A10" s="317">
        <f>+'INVERSION TOTAL'!C13</f>
        <v>1</v>
      </c>
      <c r="B10" s="8" t="s">
        <v>10</v>
      </c>
      <c r="C10" s="7" t="str">
        <f>+'INVERSION TOTAL'!A13</f>
        <v>MAQUINA CORTADORA</v>
      </c>
      <c r="D10" s="19">
        <f>+'INVERSION TOTAL'!B13</f>
        <v>4500</v>
      </c>
      <c r="E10" s="19">
        <f t="shared" si="0"/>
        <v>4500</v>
      </c>
      <c r="F10" s="316">
        <v>0.25</v>
      </c>
      <c r="G10" s="53">
        <v>48</v>
      </c>
      <c r="H10" s="55">
        <f t="shared" si="1"/>
        <v>23.4375</v>
      </c>
    </row>
    <row r="11" spans="1:9" x14ac:dyDescent="0.25">
      <c r="A11" s="317">
        <f>+'INVERSION TOTAL'!C14</f>
        <v>2</v>
      </c>
      <c r="B11" s="8" t="s">
        <v>10</v>
      </c>
      <c r="C11" s="7" t="str">
        <f>+'INVERSION TOTAL'!A14</f>
        <v>LICUADORA</v>
      </c>
      <c r="D11" s="19">
        <f>+'INVERSION TOTAL'!B14</f>
        <v>180</v>
      </c>
      <c r="E11" s="19">
        <f t="shared" si="0"/>
        <v>360</v>
      </c>
      <c r="F11" s="316">
        <v>0.25</v>
      </c>
      <c r="G11" s="53">
        <v>48</v>
      </c>
      <c r="H11" s="55">
        <f t="shared" si="1"/>
        <v>1.875</v>
      </c>
    </row>
    <row r="12" spans="1:9" x14ac:dyDescent="0.25">
      <c r="A12" s="317">
        <f>+'INVERSION TOTAL'!C15</f>
        <v>1</v>
      </c>
      <c r="B12" s="8" t="s">
        <v>10</v>
      </c>
      <c r="C12" s="7" t="str">
        <f>+'INVERSION TOTAL'!A15</f>
        <v>HORNO MICROONDAS</v>
      </c>
      <c r="D12" s="19">
        <f>+'INVERSION TOTAL'!B15</f>
        <v>500</v>
      </c>
      <c r="E12" s="19">
        <f t="shared" si="0"/>
        <v>500</v>
      </c>
      <c r="F12" s="316">
        <v>0.25</v>
      </c>
      <c r="G12" s="53">
        <v>48</v>
      </c>
      <c r="H12" s="55">
        <f t="shared" si="1"/>
        <v>2.6041666666666665</v>
      </c>
    </row>
    <row r="13" spans="1:9" x14ac:dyDescent="0.25">
      <c r="A13" s="317">
        <f>+'INVERSION TOTAL'!C16</f>
        <v>1</v>
      </c>
      <c r="B13" s="8" t="s">
        <v>10</v>
      </c>
      <c r="C13" s="7" t="str">
        <f>+'INVERSION TOTAL'!A16</f>
        <v>LAPTOP</v>
      </c>
      <c r="D13" s="19">
        <f>+'INVERSION TOTAL'!B16</f>
        <v>1200</v>
      </c>
      <c r="E13" s="19">
        <f t="shared" si="0"/>
        <v>1200</v>
      </c>
      <c r="F13" s="316">
        <v>0.25</v>
      </c>
      <c r="G13" s="53">
        <v>48</v>
      </c>
      <c r="H13" s="55">
        <f t="shared" si="1"/>
        <v>6.25</v>
      </c>
    </row>
    <row r="14" spans="1:9" x14ac:dyDescent="0.25">
      <c r="A14" s="317">
        <f>+'INVERSION TOTAL'!C17</f>
        <v>1</v>
      </c>
      <c r="B14" s="8" t="s">
        <v>10</v>
      </c>
      <c r="C14" s="7" t="str">
        <f>+'INVERSION TOTAL'!A17</f>
        <v>IMPRESORA</v>
      </c>
      <c r="D14" s="19">
        <f>+'INVERSION TOTAL'!B17</f>
        <v>550</v>
      </c>
      <c r="E14" s="19">
        <f t="shared" si="0"/>
        <v>550</v>
      </c>
      <c r="F14" s="316">
        <v>0.25</v>
      </c>
      <c r="G14" s="53">
        <v>48</v>
      </c>
      <c r="H14" s="55">
        <f t="shared" si="1"/>
        <v>2.8645833333333335</v>
      </c>
    </row>
    <row r="15" spans="1:9" ht="15.75" x14ac:dyDescent="0.3">
      <c r="A15" s="317"/>
      <c r="B15" s="8"/>
      <c r="C15" s="172" t="s">
        <v>20</v>
      </c>
      <c r="D15" s="139"/>
      <c r="E15" s="140"/>
      <c r="F15" s="140"/>
      <c r="G15" s="141"/>
      <c r="H15" s="197">
        <f>SUM(H16:H26)</f>
        <v>12.465000000000002</v>
      </c>
    </row>
    <row r="16" spans="1:9" x14ac:dyDescent="0.25">
      <c r="A16" s="308">
        <f>'INVERSION TOTAL'!C19</f>
        <v>14</v>
      </c>
      <c r="B16" s="8" t="s">
        <v>10</v>
      </c>
      <c r="C16" s="307" t="str">
        <f>'INVERSION TOTAL'!A19</f>
        <v>MESAS</v>
      </c>
      <c r="D16" s="19">
        <f>'INVERSION TOTAL'!B19</f>
        <v>160</v>
      </c>
      <c r="E16" s="19">
        <f>D16*A16</f>
        <v>2240</v>
      </c>
      <c r="F16" s="316">
        <v>0.1</v>
      </c>
      <c r="G16" s="53">
        <v>120</v>
      </c>
      <c r="H16" s="55">
        <f>(E16/G16)*F16</f>
        <v>1.8666666666666669</v>
      </c>
    </row>
    <row r="17" spans="1:8" x14ac:dyDescent="0.25">
      <c r="A17" s="308">
        <f>'INVERSION TOTAL'!C20</f>
        <v>48</v>
      </c>
      <c r="B17" s="8" t="s">
        <v>10</v>
      </c>
      <c r="C17" s="307" t="str">
        <f>'INVERSION TOTAL'!A20</f>
        <v>SILLAS DE MADERA</v>
      </c>
      <c r="D17" s="19">
        <f>'INVERSION TOTAL'!B20</f>
        <v>160</v>
      </c>
      <c r="E17" s="19">
        <f t="shared" ref="E17:E26" si="2">D17*A17</f>
        <v>7680</v>
      </c>
      <c r="F17" s="316">
        <v>0.1</v>
      </c>
      <c r="G17" s="53">
        <v>120</v>
      </c>
      <c r="H17" s="55">
        <f t="shared" ref="H17:H26" si="3">(E17/G17)*F17</f>
        <v>6.4</v>
      </c>
    </row>
    <row r="18" spans="1:8" x14ac:dyDescent="0.25">
      <c r="A18" s="308">
        <f>'INVERSION TOTAL'!C21</f>
        <v>1</v>
      </c>
      <c r="B18" s="8" t="s">
        <v>10</v>
      </c>
      <c r="C18" s="307" t="str">
        <f>'INVERSION TOTAL'!A21</f>
        <v>MOSTRADOR</v>
      </c>
      <c r="D18" s="19">
        <f>'INVERSION TOTAL'!B21</f>
        <v>2000</v>
      </c>
      <c r="E18" s="19">
        <f t="shared" si="2"/>
        <v>2000</v>
      </c>
      <c r="F18" s="316">
        <v>0.1</v>
      </c>
      <c r="G18" s="53">
        <v>120</v>
      </c>
      <c r="H18" s="55">
        <f t="shared" si="3"/>
        <v>1.666666666666667</v>
      </c>
    </row>
    <row r="19" spans="1:8" x14ac:dyDescent="0.25">
      <c r="A19" s="308">
        <f>'INVERSION TOTAL'!C22</f>
        <v>1</v>
      </c>
      <c r="B19" s="8" t="s">
        <v>10</v>
      </c>
      <c r="C19" s="307" t="str">
        <f>'INVERSION TOTAL'!A22</f>
        <v>SILLA DE MOSTRADOR</v>
      </c>
      <c r="D19" s="19">
        <f>'INVERSION TOTAL'!B22</f>
        <v>250</v>
      </c>
      <c r="E19" s="19">
        <f t="shared" si="2"/>
        <v>250</v>
      </c>
      <c r="F19" s="316">
        <v>0.1</v>
      </c>
      <c r="G19" s="53">
        <v>120</v>
      </c>
      <c r="H19" s="55">
        <f t="shared" si="3"/>
        <v>0.20833333333333337</v>
      </c>
    </row>
    <row r="20" spans="1:8" x14ac:dyDescent="0.25">
      <c r="A20" s="308">
        <f>'INVERSION TOTAL'!C23</f>
        <v>1</v>
      </c>
      <c r="B20" s="8" t="s">
        <v>10</v>
      </c>
      <c r="C20" s="307" t="str">
        <f>'INVERSION TOTAL'!A23</f>
        <v>Mesa de Trabajo</v>
      </c>
      <c r="D20" s="19">
        <f>'INVERSION TOTAL'!B23</f>
        <v>700</v>
      </c>
      <c r="E20" s="19">
        <f t="shared" si="2"/>
        <v>700</v>
      </c>
      <c r="F20" s="316">
        <v>0.1</v>
      </c>
      <c r="G20" s="53">
        <v>120</v>
      </c>
      <c r="H20" s="55">
        <f t="shared" si="3"/>
        <v>0.58333333333333337</v>
      </c>
    </row>
    <row r="21" spans="1:8" x14ac:dyDescent="0.25">
      <c r="A21" s="308">
        <f>'INVERSION TOTAL'!C24</f>
        <v>96</v>
      </c>
      <c r="B21" s="8" t="s">
        <v>10</v>
      </c>
      <c r="C21" s="307" t="str">
        <f>'INVERSION TOTAL'!A24</f>
        <v>PLATOS DE ENSERES</v>
      </c>
      <c r="D21" s="19">
        <f>'INVERSION TOTAL'!B24</f>
        <v>9</v>
      </c>
      <c r="E21" s="19">
        <f t="shared" si="2"/>
        <v>864</v>
      </c>
      <c r="F21" s="316">
        <v>0.1</v>
      </c>
      <c r="G21" s="53">
        <v>120</v>
      </c>
      <c r="H21" s="55">
        <f t="shared" si="3"/>
        <v>0.72000000000000008</v>
      </c>
    </row>
    <row r="22" spans="1:8" x14ac:dyDescent="0.25">
      <c r="A22" s="308">
        <f>'INVERSION TOTAL'!C25</f>
        <v>96</v>
      </c>
      <c r="B22" s="8" t="s">
        <v>10</v>
      </c>
      <c r="C22" s="307" t="str">
        <f>'INVERSION TOTAL'!A25</f>
        <v>UTENSILIOS -TENEDOR</v>
      </c>
      <c r="D22" s="19">
        <f>'INVERSION TOTAL'!B25</f>
        <v>2</v>
      </c>
      <c r="E22" s="19">
        <f t="shared" si="2"/>
        <v>192</v>
      </c>
      <c r="F22" s="316">
        <v>0.1</v>
      </c>
      <c r="G22" s="53">
        <v>120</v>
      </c>
      <c r="H22" s="55">
        <f t="shared" si="3"/>
        <v>0.16000000000000003</v>
      </c>
    </row>
    <row r="23" spans="1:8" x14ac:dyDescent="0.25">
      <c r="A23" s="308">
        <f>'INVERSION TOTAL'!C26</f>
        <v>96</v>
      </c>
      <c r="B23" s="8" t="s">
        <v>10</v>
      </c>
      <c r="C23" s="307" t="str">
        <f>'INVERSION TOTAL'!A26</f>
        <v>UTENSILIOS -CUCHILLO</v>
      </c>
      <c r="D23" s="19">
        <f>'INVERSION TOTAL'!B26</f>
        <v>2</v>
      </c>
      <c r="E23" s="19">
        <f t="shared" si="2"/>
        <v>192</v>
      </c>
      <c r="F23" s="316">
        <v>0.1</v>
      </c>
      <c r="G23" s="53">
        <v>120</v>
      </c>
      <c r="H23" s="55">
        <f t="shared" si="3"/>
        <v>0.16000000000000003</v>
      </c>
    </row>
    <row r="24" spans="1:8" x14ac:dyDescent="0.25">
      <c r="A24" s="308">
        <f>'INVERSION TOTAL'!C27</f>
        <v>1</v>
      </c>
      <c r="B24" s="8" t="s">
        <v>10</v>
      </c>
      <c r="C24" s="307" t="str">
        <f>'INVERSION TOTAL'!A27</f>
        <v>MESA DE COCINA</v>
      </c>
      <c r="D24" s="19">
        <f>'INVERSION TOTAL'!B27</f>
        <v>600</v>
      </c>
      <c r="E24" s="19">
        <f t="shared" si="2"/>
        <v>600</v>
      </c>
      <c r="F24" s="316">
        <v>0.1</v>
      </c>
      <c r="G24" s="53">
        <v>120</v>
      </c>
      <c r="H24" s="55">
        <f t="shared" si="3"/>
        <v>0.5</v>
      </c>
    </row>
    <row r="25" spans="1:8" x14ac:dyDescent="0.25">
      <c r="A25" s="308">
        <f>'INVERSION TOTAL'!C28</f>
        <v>96</v>
      </c>
      <c r="B25" s="8" t="s">
        <v>10</v>
      </c>
      <c r="C25" s="307" t="str">
        <f>'INVERSION TOTAL'!A28</f>
        <v>PlATOS PARA ENSALADA</v>
      </c>
      <c r="D25" s="19">
        <f>'INVERSION TOTAL'!B28</f>
        <v>1.5</v>
      </c>
      <c r="E25" s="19">
        <f t="shared" si="2"/>
        <v>144</v>
      </c>
      <c r="F25" s="316">
        <v>0.1</v>
      </c>
      <c r="G25" s="53">
        <v>120</v>
      </c>
      <c r="H25" s="55">
        <f t="shared" si="3"/>
        <v>0.12</v>
      </c>
    </row>
    <row r="26" spans="1:8" x14ac:dyDescent="0.25">
      <c r="A26" s="308">
        <f>'INVERSION TOTAL'!C29</f>
        <v>96</v>
      </c>
      <c r="B26" s="8" t="s">
        <v>10</v>
      </c>
      <c r="C26" s="307" t="str">
        <f>'INVERSION TOTAL'!A29</f>
        <v>PLATITOS PARA CREMAS</v>
      </c>
      <c r="D26" s="19">
        <f>'INVERSION TOTAL'!B29</f>
        <v>1</v>
      </c>
      <c r="E26" s="19">
        <f t="shared" si="2"/>
        <v>96</v>
      </c>
      <c r="F26" s="316">
        <v>0.1</v>
      </c>
      <c r="G26" s="53">
        <v>120</v>
      </c>
      <c r="H26" s="55">
        <f t="shared" si="3"/>
        <v>8.0000000000000016E-2</v>
      </c>
    </row>
    <row r="27" spans="1:8" ht="15.75" x14ac:dyDescent="0.3">
      <c r="A27" s="317"/>
      <c r="B27" s="8"/>
      <c r="C27" s="171" t="s">
        <v>33</v>
      </c>
      <c r="D27" s="142"/>
      <c r="E27" s="140"/>
      <c r="F27" s="140"/>
      <c r="G27" s="141"/>
      <c r="H27" s="197">
        <f>SUM(H28:H29)</f>
        <v>1.9166666666666667</v>
      </c>
    </row>
    <row r="28" spans="1:8" x14ac:dyDescent="0.25">
      <c r="A28" s="8">
        <v>1</v>
      </c>
      <c r="B28" s="8" t="s">
        <v>10</v>
      </c>
      <c r="C28" s="310" t="s">
        <v>34</v>
      </c>
      <c r="D28" s="310">
        <v>180</v>
      </c>
      <c r="E28" s="19">
        <f>D28*A28</f>
        <v>180</v>
      </c>
      <c r="F28" s="318">
        <v>0.1</v>
      </c>
      <c r="G28" s="53">
        <v>120</v>
      </c>
      <c r="H28" s="55">
        <f>E28/G28</f>
        <v>1.5</v>
      </c>
    </row>
    <row r="29" spans="1:8" x14ac:dyDescent="0.25">
      <c r="A29" s="8">
        <v>1</v>
      </c>
      <c r="B29" s="8" t="s">
        <v>10</v>
      </c>
      <c r="C29" s="310" t="s">
        <v>35</v>
      </c>
      <c r="D29" s="310">
        <v>50</v>
      </c>
      <c r="E29" s="19">
        <f>D29*A29</f>
        <v>50</v>
      </c>
      <c r="F29" s="318">
        <v>0.1</v>
      </c>
      <c r="G29" s="53">
        <v>120</v>
      </c>
      <c r="H29" s="55">
        <f>E29/G29</f>
        <v>0.41666666666666669</v>
      </c>
    </row>
    <row r="30" spans="1:8" ht="16.5" customHeight="1" x14ac:dyDescent="0.25">
      <c r="A30" s="201"/>
      <c r="B30" s="201"/>
      <c r="C30" s="198" t="s">
        <v>161</v>
      </c>
      <c r="D30" s="315"/>
      <c r="E30" s="315"/>
      <c r="F30" s="315"/>
      <c r="G30" s="199"/>
      <c r="H30" s="200">
        <f>+H4+H15+H27</f>
        <v>124.06916666666667</v>
      </c>
    </row>
  </sheetData>
  <mergeCells count="1">
    <mergeCell ref="A1:H1"/>
  </mergeCells>
  <pageMargins left="0.7" right="0.7" top="0.75" bottom="0.75" header="0.3" footer="0.3"/>
  <ignoredErrors>
    <ignoredError sqref="H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zoomScale="110" zoomScaleNormal="110" workbookViewId="0">
      <pane xSplit="1" ySplit="3" topLeftCell="B28" activePane="bottomRight" state="frozenSplit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.75" x14ac:dyDescent="0.25"/>
  <cols>
    <col min="1" max="1" width="25.5703125" style="29" customWidth="1"/>
    <col min="2" max="25" width="10.5703125" style="29" bestFit="1" customWidth="1"/>
    <col min="26" max="16384" width="11.42578125" style="29"/>
  </cols>
  <sheetData>
    <row r="1" spans="1:25" ht="13.5" x14ac:dyDescent="0.3">
      <c r="A1" s="394" t="s">
        <v>162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3.5" x14ac:dyDescent="0.3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30" customHeight="1" x14ac:dyDescent="0.25">
      <c r="A3" s="202" t="s">
        <v>163</v>
      </c>
      <c r="B3" s="202">
        <v>1</v>
      </c>
      <c r="C3" s="202">
        <v>2</v>
      </c>
      <c r="D3" s="202">
        <v>3</v>
      </c>
      <c r="E3" s="202">
        <v>4</v>
      </c>
      <c r="F3" s="202">
        <v>5</v>
      </c>
      <c r="G3" s="202">
        <v>6</v>
      </c>
      <c r="H3" s="202">
        <v>7</v>
      </c>
      <c r="I3" s="202">
        <v>8</v>
      </c>
      <c r="J3" s="202">
        <v>9</v>
      </c>
      <c r="K3" s="202">
        <v>10</v>
      </c>
      <c r="L3" s="202">
        <v>11</v>
      </c>
      <c r="M3" s="202">
        <v>12</v>
      </c>
      <c r="N3" s="202">
        <v>13</v>
      </c>
      <c r="O3" s="202">
        <v>14</v>
      </c>
      <c r="P3" s="202">
        <v>15</v>
      </c>
      <c r="Q3" s="202">
        <v>16</v>
      </c>
      <c r="R3" s="202">
        <v>17</v>
      </c>
      <c r="S3" s="202">
        <v>18</v>
      </c>
      <c r="T3" s="202">
        <v>19</v>
      </c>
      <c r="U3" s="202">
        <v>20</v>
      </c>
      <c r="V3" s="202">
        <v>21</v>
      </c>
      <c r="W3" s="202">
        <v>22</v>
      </c>
      <c r="X3" s="202">
        <v>23</v>
      </c>
      <c r="Y3" s="202">
        <v>24</v>
      </c>
    </row>
    <row r="4" spans="1:25" ht="13.5" x14ac:dyDescent="0.3">
      <c r="A4" s="206" t="s">
        <v>164</v>
      </c>
      <c r="B4" s="117">
        <f>B26+B5+B33+B37</f>
        <v>37884.669166666667</v>
      </c>
      <c r="C4" s="117">
        <f t="shared" ref="C4:Y4" si="0">C26+C5+C33+C37</f>
        <v>37884.669166666667</v>
      </c>
      <c r="D4" s="117">
        <f>D26+D5+D33+D37</f>
        <v>37884.669166666667</v>
      </c>
      <c r="E4" s="117">
        <f>E26+E5+E33+E37</f>
        <v>21830.869166666667</v>
      </c>
      <c r="F4" s="117">
        <f>F26+F5+F33+F37</f>
        <v>37884.669166666667</v>
      </c>
      <c r="G4" s="117">
        <f t="shared" si="0"/>
        <v>21830.869166666667</v>
      </c>
      <c r="H4" s="117">
        <f t="shared" si="0"/>
        <v>41917.669166666667</v>
      </c>
      <c r="I4" s="117">
        <f t="shared" si="0"/>
        <v>37884.669166666667</v>
      </c>
      <c r="J4" s="117">
        <f t="shared" si="0"/>
        <v>37884.669166666667</v>
      </c>
      <c r="K4" s="117">
        <f t="shared" si="0"/>
        <v>37884.669166666667</v>
      </c>
      <c r="L4" s="117">
        <f t="shared" si="0"/>
        <v>37884.669166666667</v>
      </c>
      <c r="M4" s="117">
        <f t="shared" si="0"/>
        <v>41917.669166666667</v>
      </c>
      <c r="N4" s="116">
        <f t="shared" si="0"/>
        <v>37884.669166666667</v>
      </c>
      <c r="O4" s="116">
        <f t="shared" si="0"/>
        <v>37884.669166666667</v>
      </c>
      <c r="P4" s="116">
        <f t="shared" si="0"/>
        <v>37884.669166666667</v>
      </c>
      <c r="Q4" s="116">
        <f t="shared" si="0"/>
        <v>37884.669166666667</v>
      </c>
      <c r="R4" s="116">
        <f t="shared" si="0"/>
        <v>37884.669166666667</v>
      </c>
      <c r="S4" s="116">
        <f t="shared" si="0"/>
        <v>37884.669166666667</v>
      </c>
      <c r="T4" s="116">
        <f t="shared" si="0"/>
        <v>41917.669166666667</v>
      </c>
      <c r="U4" s="116">
        <f t="shared" si="0"/>
        <v>37884.669166666667</v>
      </c>
      <c r="V4" s="116">
        <f t="shared" si="0"/>
        <v>37884.669166666667</v>
      </c>
      <c r="W4" s="116">
        <f t="shared" si="0"/>
        <v>37884.669166666667</v>
      </c>
      <c r="X4" s="116">
        <f t="shared" si="0"/>
        <v>37884.669166666667</v>
      </c>
      <c r="Y4" s="116">
        <f t="shared" si="0"/>
        <v>41917.669166666667</v>
      </c>
    </row>
    <row r="5" spans="1:25" x14ac:dyDescent="0.25">
      <c r="A5" s="204" t="s">
        <v>165</v>
      </c>
      <c r="B5" s="117">
        <f t="shared" ref="B5:Y5" si="1">B6+B22</f>
        <v>35159.599999999999</v>
      </c>
      <c r="C5" s="117">
        <f t="shared" si="1"/>
        <v>35159.599999999999</v>
      </c>
      <c r="D5" s="117">
        <f t="shared" si="1"/>
        <v>35159.599999999999</v>
      </c>
      <c r="E5" s="117">
        <f t="shared" si="1"/>
        <v>19105.8</v>
      </c>
      <c r="F5" s="117">
        <f t="shared" si="1"/>
        <v>35159.599999999999</v>
      </c>
      <c r="G5" s="117">
        <f t="shared" si="1"/>
        <v>19105.8</v>
      </c>
      <c r="H5" s="117">
        <f t="shared" si="1"/>
        <v>38211.599999999999</v>
      </c>
      <c r="I5" s="117">
        <f t="shared" si="1"/>
        <v>35159.599999999999</v>
      </c>
      <c r="J5" s="117">
        <f t="shared" si="1"/>
        <v>35159.599999999999</v>
      </c>
      <c r="K5" s="117">
        <f t="shared" si="1"/>
        <v>35159.599999999999</v>
      </c>
      <c r="L5" s="117">
        <f t="shared" si="1"/>
        <v>35159.599999999999</v>
      </c>
      <c r="M5" s="117">
        <f t="shared" si="1"/>
        <v>38211.599999999999</v>
      </c>
      <c r="N5" s="117">
        <f t="shared" si="1"/>
        <v>35159.599999999999</v>
      </c>
      <c r="O5" s="117">
        <f t="shared" si="1"/>
        <v>35159.599999999999</v>
      </c>
      <c r="P5" s="117">
        <f t="shared" si="1"/>
        <v>35159.599999999999</v>
      </c>
      <c r="Q5" s="117">
        <f t="shared" si="1"/>
        <v>35159.599999999999</v>
      </c>
      <c r="R5" s="117">
        <f t="shared" si="1"/>
        <v>35159.599999999999</v>
      </c>
      <c r="S5" s="117">
        <f t="shared" si="1"/>
        <v>35159.599999999999</v>
      </c>
      <c r="T5" s="117">
        <f t="shared" si="1"/>
        <v>38211.599999999999</v>
      </c>
      <c r="U5" s="117">
        <f t="shared" si="1"/>
        <v>35159.599999999999</v>
      </c>
      <c r="V5" s="117">
        <f t="shared" si="1"/>
        <v>35159.599999999999</v>
      </c>
      <c r="W5" s="117">
        <f t="shared" si="1"/>
        <v>35159.599999999999</v>
      </c>
      <c r="X5" s="117">
        <f t="shared" si="1"/>
        <v>35159.599999999999</v>
      </c>
      <c r="Y5" s="117">
        <f t="shared" si="1"/>
        <v>38211.599999999999</v>
      </c>
    </row>
    <row r="6" spans="1:25" x14ac:dyDescent="0.25">
      <c r="A6" s="207" t="s">
        <v>166</v>
      </c>
      <c r="B6" s="117">
        <f>SUM(B7:B21)</f>
        <v>32107.599999999999</v>
      </c>
      <c r="C6" s="117">
        <f t="shared" ref="C6:Y6" si="2">SUM(C7:C21)</f>
        <v>32107.599999999999</v>
      </c>
      <c r="D6" s="117">
        <f t="shared" si="2"/>
        <v>32107.599999999999</v>
      </c>
      <c r="E6" s="117">
        <f t="shared" si="2"/>
        <v>16053.8</v>
      </c>
      <c r="F6" s="117">
        <f t="shared" si="2"/>
        <v>32107.599999999999</v>
      </c>
      <c r="G6" s="117">
        <f t="shared" si="2"/>
        <v>16053.8</v>
      </c>
      <c r="H6" s="117">
        <f t="shared" si="2"/>
        <v>32107.599999999999</v>
      </c>
      <c r="I6" s="117">
        <f t="shared" si="2"/>
        <v>32107.599999999999</v>
      </c>
      <c r="J6" s="117">
        <f t="shared" si="2"/>
        <v>32107.599999999999</v>
      </c>
      <c r="K6" s="117">
        <f t="shared" si="2"/>
        <v>32107.599999999999</v>
      </c>
      <c r="L6" s="117">
        <f t="shared" si="2"/>
        <v>32107.599999999999</v>
      </c>
      <c r="M6" s="117">
        <f t="shared" si="2"/>
        <v>32107.599999999999</v>
      </c>
      <c r="N6" s="117">
        <f t="shared" si="2"/>
        <v>32107.599999999999</v>
      </c>
      <c r="O6" s="117">
        <f t="shared" si="2"/>
        <v>32107.599999999999</v>
      </c>
      <c r="P6" s="117">
        <f t="shared" si="2"/>
        <v>32107.599999999999</v>
      </c>
      <c r="Q6" s="117">
        <f t="shared" si="2"/>
        <v>32107.599999999999</v>
      </c>
      <c r="R6" s="117">
        <f t="shared" si="2"/>
        <v>32107.599999999999</v>
      </c>
      <c r="S6" s="117">
        <f t="shared" si="2"/>
        <v>32107.599999999999</v>
      </c>
      <c r="T6" s="117">
        <f t="shared" si="2"/>
        <v>32107.599999999999</v>
      </c>
      <c r="U6" s="117">
        <f t="shared" si="2"/>
        <v>32107.599999999999</v>
      </c>
      <c r="V6" s="117">
        <f t="shared" si="2"/>
        <v>32107.599999999999</v>
      </c>
      <c r="W6" s="117">
        <f t="shared" si="2"/>
        <v>32107.599999999999</v>
      </c>
      <c r="X6" s="117">
        <f t="shared" si="2"/>
        <v>32107.599999999999</v>
      </c>
      <c r="Y6" s="117">
        <f t="shared" si="2"/>
        <v>32107.599999999999</v>
      </c>
    </row>
    <row r="7" spans="1:25" x14ac:dyDescent="0.25">
      <c r="A7" s="35" t="str">
        <f>'INSUMOS DE PREPARACION'!B8</f>
        <v>chancho</v>
      </c>
      <c r="B7" s="117">
        <f>('INSUMOS DE PREPARACION'!$D$8*'INGRESO POR VENTAS'!B4)</f>
        <v>3136</v>
      </c>
      <c r="C7" s="117">
        <f>('INSUMOS DE PREPARACION'!$D$8*'INGRESO POR VENTAS'!C4)</f>
        <v>3136</v>
      </c>
      <c r="D7" s="117">
        <f>('INSUMOS DE PREPARACION'!$D$8*'INGRESO POR VENTAS'!D4)</f>
        <v>3136</v>
      </c>
      <c r="E7" s="117">
        <f>('INSUMOS DE PREPARACION'!$D$8*'INGRESO POR VENTAS'!E4)</f>
        <v>1568</v>
      </c>
      <c r="F7" s="117">
        <f>('INSUMOS DE PREPARACION'!$D$8*'INGRESO POR VENTAS'!F4)</f>
        <v>3136</v>
      </c>
      <c r="G7" s="117">
        <f>('INSUMOS DE PREPARACION'!$D$8*'INGRESO POR VENTAS'!G4)</f>
        <v>1568</v>
      </c>
      <c r="H7" s="117">
        <f>('INSUMOS DE PREPARACION'!$D$8*'INGRESO POR VENTAS'!H4)</f>
        <v>3136</v>
      </c>
      <c r="I7" s="117">
        <f>('INSUMOS DE PREPARACION'!$D$8*'INGRESO POR VENTAS'!I4)</f>
        <v>3136</v>
      </c>
      <c r="J7" s="117">
        <f>('INSUMOS DE PREPARACION'!$D$8*'INGRESO POR VENTAS'!J4)</f>
        <v>3136</v>
      </c>
      <c r="K7" s="117">
        <f>('INSUMOS DE PREPARACION'!$D$8*'INGRESO POR VENTAS'!K4)</f>
        <v>3136</v>
      </c>
      <c r="L7" s="117">
        <f>('INSUMOS DE PREPARACION'!$D$8*'INGRESO POR VENTAS'!L4)</f>
        <v>3136</v>
      </c>
      <c r="M7" s="117">
        <f>('INSUMOS DE PREPARACION'!$D$8*'INGRESO POR VENTAS'!M4)</f>
        <v>3136</v>
      </c>
      <c r="N7" s="117">
        <f>('INSUMOS DE PREPARACION'!$D$8*'INGRESO POR VENTAS'!N4)</f>
        <v>3136</v>
      </c>
      <c r="O7" s="117">
        <f>('INSUMOS DE PREPARACION'!$D$8*'INGRESO POR VENTAS'!O4)</f>
        <v>3136</v>
      </c>
      <c r="P7" s="117">
        <f>('INSUMOS DE PREPARACION'!$D$8*'INGRESO POR VENTAS'!P4)</f>
        <v>3136</v>
      </c>
      <c r="Q7" s="117">
        <f>('INSUMOS DE PREPARACION'!$D$8*'INGRESO POR VENTAS'!Q4)</f>
        <v>3136</v>
      </c>
      <c r="R7" s="117">
        <f>('INSUMOS DE PREPARACION'!$D$8*'INGRESO POR VENTAS'!R4)</f>
        <v>3136</v>
      </c>
      <c r="S7" s="117">
        <f>('INSUMOS DE PREPARACION'!$D$8*'INGRESO POR VENTAS'!S4)</f>
        <v>3136</v>
      </c>
      <c r="T7" s="117">
        <f>('INSUMOS DE PREPARACION'!$D$8*'INGRESO POR VENTAS'!T4)</f>
        <v>3136</v>
      </c>
      <c r="U7" s="117">
        <f>('INSUMOS DE PREPARACION'!$D$8*'INGRESO POR VENTAS'!U4)</f>
        <v>3136</v>
      </c>
      <c r="V7" s="117">
        <f>('INSUMOS DE PREPARACION'!$D$8*'INGRESO POR VENTAS'!V4)</f>
        <v>3136</v>
      </c>
      <c r="W7" s="117">
        <f>('INSUMOS DE PREPARACION'!$D$8*'INGRESO POR VENTAS'!W4)</f>
        <v>3136</v>
      </c>
      <c r="X7" s="117">
        <f>('INSUMOS DE PREPARACION'!$D$8*'INGRESO POR VENTAS'!X4)</f>
        <v>3136</v>
      </c>
      <c r="Y7" s="117">
        <f>('INSUMOS DE PREPARACION'!$D$8*'INGRESO POR VENTAS'!Y4)</f>
        <v>3136</v>
      </c>
    </row>
    <row r="8" spans="1:25" x14ac:dyDescent="0.25">
      <c r="A8" s="35" t="str">
        <f>'INSUMOS DE PREPARACION'!B9</f>
        <v>papa</v>
      </c>
      <c r="B8" s="117">
        <f>('INSUMOS DE PREPARACION'!$D$9*'INGRESO POR VENTAS'!B4)+('INSUMOS DE PREPARACION'!$I$9*'INGRESO POR VENTAS'!B9)+('INSUMOS DE PREPARACION'!$D$21*'INGRESO POR VENTAS'!B5)+('INSUMOS DE PREPARACION'!$D$33*'INGRESO POR VENTAS'!B6)+('INSUMOS DE PREPARACION'!$D$45*'INGRESO POR VENTAS'!B7)+('INSUMOS DE PREPARACION'!$D$54*'INGRESO POR VENTAS'!B8)+('INSUMOS DE PREPARACION'!$D$66*'INGRESO POR VENTAS'!B10)+('INSUMOS DE PREPARACION'!$D$78*'INGRESO POR VENTAS'!B11)+('INSUMOS DE PREPARACION'!$D$90*'INGRESO POR VENTAS'!B12)+('INSUMOS DE PREPARACION'!$D$98*'INGRESO POR VENTAS'!B13)+('INSUMOS DE PREPARACION'!$D$103*'INGRESO POR VENTAS'!B14)</f>
        <v>2329.6</v>
      </c>
      <c r="C8" s="117">
        <f>('INSUMOS DE PREPARACION'!$D$9*'INGRESO POR VENTAS'!C4)+('INSUMOS DE PREPARACION'!$I$9*'INGRESO POR VENTAS'!C9)+('INSUMOS DE PREPARACION'!$D$21*'INGRESO POR VENTAS'!C5)+('INSUMOS DE PREPARACION'!$D$33*'INGRESO POR VENTAS'!C6)+('INSUMOS DE PREPARACION'!$D$45*'INGRESO POR VENTAS'!C7)+('INSUMOS DE PREPARACION'!$D$54*'INGRESO POR VENTAS'!C8)+('INSUMOS DE PREPARACION'!$D$66*'INGRESO POR VENTAS'!C10)+('INSUMOS DE PREPARACION'!$D$78*'INGRESO POR VENTAS'!C11)+('INSUMOS DE PREPARACION'!$D$90*'INGRESO POR VENTAS'!C12)+('INSUMOS DE PREPARACION'!$D$98*'INGRESO POR VENTAS'!C13)+('INSUMOS DE PREPARACION'!$D$103*'INGRESO POR VENTAS'!C14)</f>
        <v>2329.6</v>
      </c>
      <c r="D8" s="117">
        <f>('INSUMOS DE PREPARACION'!$D$9*'INGRESO POR VENTAS'!D4)+('INSUMOS DE PREPARACION'!$I$9*'INGRESO POR VENTAS'!D9)+('INSUMOS DE PREPARACION'!$D$21*'INGRESO POR VENTAS'!D5)+('INSUMOS DE PREPARACION'!$D$33*'INGRESO POR VENTAS'!D6)+('INSUMOS DE PREPARACION'!$D$45*'INGRESO POR VENTAS'!D7)+('INSUMOS DE PREPARACION'!$D$54*'INGRESO POR VENTAS'!D8)+('INSUMOS DE PREPARACION'!$D$66*'INGRESO POR VENTAS'!D10)+('INSUMOS DE PREPARACION'!$D$78*'INGRESO POR VENTAS'!D11)+('INSUMOS DE PREPARACION'!$D$90*'INGRESO POR VENTAS'!D12)+('INSUMOS DE PREPARACION'!$D$98*'INGRESO POR VENTAS'!D13)+('INSUMOS DE PREPARACION'!$D$103*'INGRESO POR VENTAS'!D14)</f>
        <v>2329.6</v>
      </c>
      <c r="E8" s="117">
        <f>('INSUMOS DE PREPARACION'!$D$9*'INGRESO POR VENTAS'!E4)+('INSUMOS DE PREPARACION'!$I$9*'INGRESO POR VENTAS'!E9)+('INSUMOS DE PREPARACION'!$D$21*'INGRESO POR VENTAS'!E5)+('INSUMOS DE PREPARACION'!$D$33*'INGRESO POR VENTAS'!E6)+('INSUMOS DE PREPARACION'!$D$45*'INGRESO POR VENTAS'!E7)+('INSUMOS DE PREPARACION'!$D$54*'INGRESO POR VENTAS'!E8)+('INSUMOS DE PREPARACION'!$D$66*'INGRESO POR VENTAS'!E10)+('INSUMOS DE PREPARACION'!$D$78*'INGRESO POR VENTAS'!E11)+('INSUMOS DE PREPARACION'!$D$90*'INGRESO POR VENTAS'!E12)+('INSUMOS DE PREPARACION'!$D$98*'INGRESO POR VENTAS'!E13)+('INSUMOS DE PREPARACION'!$D$103*'INGRESO POR VENTAS'!E14)</f>
        <v>1164.8</v>
      </c>
      <c r="F8" s="117">
        <f>('INSUMOS DE PREPARACION'!$D$9*'INGRESO POR VENTAS'!F4)+('INSUMOS DE PREPARACION'!$I$9*'INGRESO POR VENTAS'!F9)+('INSUMOS DE PREPARACION'!$D$21*'INGRESO POR VENTAS'!F5)+('INSUMOS DE PREPARACION'!$D$33*'INGRESO POR VENTAS'!F6)+('INSUMOS DE PREPARACION'!$D$45*'INGRESO POR VENTAS'!F7)+('INSUMOS DE PREPARACION'!$D$54*'INGRESO POR VENTAS'!F8)+('INSUMOS DE PREPARACION'!$D$66*'INGRESO POR VENTAS'!F10)+('INSUMOS DE PREPARACION'!$D$78*'INGRESO POR VENTAS'!F11)+('INSUMOS DE PREPARACION'!$D$90*'INGRESO POR VENTAS'!F12)+('INSUMOS DE PREPARACION'!$D$98*'INGRESO POR VENTAS'!F13)+('INSUMOS DE PREPARACION'!$D$103*'INGRESO POR VENTAS'!F14)</f>
        <v>2329.6</v>
      </c>
      <c r="G8" s="117">
        <f>('INSUMOS DE PREPARACION'!$D$9*'INGRESO POR VENTAS'!G4)+('INSUMOS DE PREPARACION'!$I$9*'INGRESO POR VENTAS'!G9)+('INSUMOS DE PREPARACION'!$D$21*'INGRESO POR VENTAS'!G5)+('INSUMOS DE PREPARACION'!$D$33*'INGRESO POR VENTAS'!G6)+('INSUMOS DE PREPARACION'!$D$45*'INGRESO POR VENTAS'!G7)+('INSUMOS DE PREPARACION'!$D$54*'INGRESO POR VENTAS'!G8)+('INSUMOS DE PREPARACION'!$D$66*'INGRESO POR VENTAS'!G10)+('INSUMOS DE PREPARACION'!$D$78*'INGRESO POR VENTAS'!G11)+('INSUMOS DE PREPARACION'!$D$90*'INGRESO POR VENTAS'!G12)+('INSUMOS DE PREPARACION'!$D$98*'INGRESO POR VENTAS'!G13)+('INSUMOS DE PREPARACION'!$D$103*'INGRESO POR VENTAS'!G14)</f>
        <v>1164.8</v>
      </c>
      <c r="H8" s="117">
        <f>('INSUMOS DE PREPARACION'!$D$9*'INGRESO POR VENTAS'!H4)+('INSUMOS DE PREPARACION'!$I$9*'INGRESO POR VENTAS'!H9)+('INSUMOS DE PREPARACION'!$D$21*'INGRESO POR VENTAS'!H5)+('INSUMOS DE PREPARACION'!$D$33*'INGRESO POR VENTAS'!H6)+('INSUMOS DE PREPARACION'!$D$45*'INGRESO POR VENTAS'!H7)+('INSUMOS DE PREPARACION'!$D$54*'INGRESO POR VENTAS'!H8)+('INSUMOS DE PREPARACION'!$D$66*'INGRESO POR VENTAS'!H10)+('INSUMOS DE PREPARACION'!$D$78*'INGRESO POR VENTAS'!H11)+('INSUMOS DE PREPARACION'!$D$90*'INGRESO POR VENTAS'!H12)+('INSUMOS DE PREPARACION'!$D$98*'INGRESO POR VENTAS'!H13)+('INSUMOS DE PREPARACION'!$D$103*'INGRESO POR VENTAS'!H14)</f>
        <v>2329.6</v>
      </c>
      <c r="I8" s="117">
        <f>('INSUMOS DE PREPARACION'!$D$9*'INGRESO POR VENTAS'!I4)+('INSUMOS DE PREPARACION'!$I$9*'INGRESO POR VENTAS'!I9)+('INSUMOS DE PREPARACION'!$D$21*'INGRESO POR VENTAS'!I5)+('INSUMOS DE PREPARACION'!$D$33*'INGRESO POR VENTAS'!I6)+('INSUMOS DE PREPARACION'!$D$45*'INGRESO POR VENTAS'!I7)+('INSUMOS DE PREPARACION'!$D$54*'INGRESO POR VENTAS'!I8)+('INSUMOS DE PREPARACION'!$D$66*'INGRESO POR VENTAS'!I10)+('INSUMOS DE PREPARACION'!$D$78*'INGRESO POR VENTAS'!I11)+('INSUMOS DE PREPARACION'!$D$90*'INGRESO POR VENTAS'!I12)+('INSUMOS DE PREPARACION'!$D$98*'INGRESO POR VENTAS'!I13)+('INSUMOS DE PREPARACION'!$D$103*'INGRESO POR VENTAS'!I14)</f>
        <v>2329.6</v>
      </c>
      <c r="J8" s="117">
        <f>('INSUMOS DE PREPARACION'!$D$9*'INGRESO POR VENTAS'!J4)+('INSUMOS DE PREPARACION'!$I$9*'INGRESO POR VENTAS'!J9)+('INSUMOS DE PREPARACION'!$D$21*'INGRESO POR VENTAS'!J5)+('INSUMOS DE PREPARACION'!$D$33*'INGRESO POR VENTAS'!J6)+('INSUMOS DE PREPARACION'!$D$45*'INGRESO POR VENTAS'!J7)+('INSUMOS DE PREPARACION'!$D$54*'INGRESO POR VENTAS'!J8)+('INSUMOS DE PREPARACION'!$D$66*'INGRESO POR VENTAS'!J10)+('INSUMOS DE PREPARACION'!$D$78*'INGRESO POR VENTAS'!J11)+('INSUMOS DE PREPARACION'!$D$90*'INGRESO POR VENTAS'!J12)+('INSUMOS DE PREPARACION'!$D$98*'INGRESO POR VENTAS'!J13)+('INSUMOS DE PREPARACION'!$D$103*'INGRESO POR VENTAS'!J14)</f>
        <v>2329.6</v>
      </c>
      <c r="K8" s="117">
        <f>('INSUMOS DE PREPARACION'!$D$9*'INGRESO POR VENTAS'!K4)+('INSUMOS DE PREPARACION'!$I$9*'INGRESO POR VENTAS'!K9)+('INSUMOS DE PREPARACION'!$D$21*'INGRESO POR VENTAS'!K5)+('INSUMOS DE PREPARACION'!$D$33*'INGRESO POR VENTAS'!K6)+('INSUMOS DE PREPARACION'!$D$45*'INGRESO POR VENTAS'!K7)+('INSUMOS DE PREPARACION'!$D$54*'INGRESO POR VENTAS'!K8)+('INSUMOS DE PREPARACION'!$D$66*'INGRESO POR VENTAS'!K10)+('INSUMOS DE PREPARACION'!$D$78*'INGRESO POR VENTAS'!K11)+('INSUMOS DE PREPARACION'!$D$90*'INGRESO POR VENTAS'!K12)+('INSUMOS DE PREPARACION'!$D$98*'INGRESO POR VENTAS'!K13)+('INSUMOS DE PREPARACION'!$D$103*'INGRESO POR VENTAS'!K14)</f>
        <v>2329.6</v>
      </c>
      <c r="L8" s="117">
        <f>('INSUMOS DE PREPARACION'!$D$9*'INGRESO POR VENTAS'!L4)+('INSUMOS DE PREPARACION'!$I$9*'INGRESO POR VENTAS'!L9)+('INSUMOS DE PREPARACION'!$D$21*'INGRESO POR VENTAS'!L5)+('INSUMOS DE PREPARACION'!$D$33*'INGRESO POR VENTAS'!L6)+('INSUMOS DE PREPARACION'!$D$45*'INGRESO POR VENTAS'!L7)+('INSUMOS DE PREPARACION'!$D$54*'INGRESO POR VENTAS'!L8)+('INSUMOS DE PREPARACION'!$D$66*'INGRESO POR VENTAS'!L10)+('INSUMOS DE PREPARACION'!$D$78*'INGRESO POR VENTAS'!L11)+('INSUMOS DE PREPARACION'!$D$90*'INGRESO POR VENTAS'!L12)+('INSUMOS DE PREPARACION'!$D$98*'INGRESO POR VENTAS'!L13)+('INSUMOS DE PREPARACION'!$D$103*'INGRESO POR VENTAS'!L14)</f>
        <v>2329.6</v>
      </c>
      <c r="M8" s="117">
        <f>('INSUMOS DE PREPARACION'!$D$9*'INGRESO POR VENTAS'!M4)+('INSUMOS DE PREPARACION'!$I$9*'INGRESO POR VENTAS'!M9)+('INSUMOS DE PREPARACION'!$D$21*'INGRESO POR VENTAS'!M5)+('INSUMOS DE PREPARACION'!$D$33*'INGRESO POR VENTAS'!M6)+('INSUMOS DE PREPARACION'!$D$45*'INGRESO POR VENTAS'!M7)+('INSUMOS DE PREPARACION'!$D$54*'INGRESO POR VENTAS'!M8)+('INSUMOS DE PREPARACION'!$D$66*'INGRESO POR VENTAS'!M10)+('INSUMOS DE PREPARACION'!$D$78*'INGRESO POR VENTAS'!M11)+('INSUMOS DE PREPARACION'!$D$90*'INGRESO POR VENTAS'!M12)+('INSUMOS DE PREPARACION'!$D$98*'INGRESO POR VENTAS'!M13)+('INSUMOS DE PREPARACION'!$D$103*'INGRESO POR VENTAS'!M14)</f>
        <v>2329.6</v>
      </c>
      <c r="N8" s="117">
        <f>('INSUMOS DE PREPARACION'!$D$9*'INGRESO POR VENTAS'!N4)+('INSUMOS DE PREPARACION'!$I$9*'INGRESO POR VENTAS'!N9)+('INSUMOS DE PREPARACION'!$D$21*'INGRESO POR VENTAS'!N5)+('INSUMOS DE PREPARACION'!$D$33*'INGRESO POR VENTAS'!N6)+('INSUMOS DE PREPARACION'!$D$45*'INGRESO POR VENTAS'!N7)+('INSUMOS DE PREPARACION'!$D$54*'INGRESO POR VENTAS'!N8)+('INSUMOS DE PREPARACION'!$D$66*'INGRESO POR VENTAS'!N10)+('INSUMOS DE PREPARACION'!$D$78*'INGRESO POR VENTAS'!N11)+('INSUMOS DE PREPARACION'!$D$90*'INGRESO POR VENTAS'!N12)+('INSUMOS DE PREPARACION'!$D$98*'INGRESO POR VENTAS'!N13)+('INSUMOS DE PREPARACION'!$D$103*'INGRESO POR VENTAS'!N14)</f>
        <v>2329.6</v>
      </c>
      <c r="O8" s="117">
        <f>('INSUMOS DE PREPARACION'!$D$9*'INGRESO POR VENTAS'!O4)+('INSUMOS DE PREPARACION'!$I$9*'INGRESO POR VENTAS'!O9)+('INSUMOS DE PREPARACION'!$D$21*'INGRESO POR VENTAS'!O5)+('INSUMOS DE PREPARACION'!$D$33*'INGRESO POR VENTAS'!O6)+('INSUMOS DE PREPARACION'!$D$45*'INGRESO POR VENTAS'!O7)+('INSUMOS DE PREPARACION'!$D$54*'INGRESO POR VENTAS'!O8)+('INSUMOS DE PREPARACION'!$D$66*'INGRESO POR VENTAS'!O10)+('INSUMOS DE PREPARACION'!$D$78*'INGRESO POR VENTAS'!O11)+('INSUMOS DE PREPARACION'!$D$90*'INGRESO POR VENTAS'!O12)+('INSUMOS DE PREPARACION'!$D$98*'INGRESO POR VENTAS'!O13)+('INSUMOS DE PREPARACION'!$D$103*'INGRESO POR VENTAS'!O14)</f>
        <v>2329.6</v>
      </c>
      <c r="P8" s="117">
        <f>('INSUMOS DE PREPARACION'!$D$9*'INGRESO POR VENTAS'!P4)+('INSUMOS DE PREPARACION'!$I$9*'INGRESO POR VENTAS'!P9)+('INSUMOS DE PREPARACION'!$D$21*'INGRESO POR VENTAS'!P5)+('INSUMOS DE PREPARACION'!$D$33*'INGRESO POR VENTAS'!P6)+('INSUMOS DE PREPARACION'!$D$45*'INGRESO POR VENTAS'!P7)+('INSUMOS DE PREPARACION'!$D$54*'INGRESO POR VENTAS'!P8)+('INSUMOS DE PREPARACION'!$D$66*'INGRESO POR VENTAS'!P10)+('INSUMOS DE PREPARACION'!$D$78*'INGRESO POR VENTAS'!P11)+('INSUMOS DE PREPARACION'!$D$90*'INGRESO POR VENTAS'!P12)+('INSUMOS DE PREPARACION'!$D$98*'INGRESO POR VENTAS'!P13)+('INSUMOS DE PREPARACION'!$D$103*'INGRESO POR VENTAS'!P14)</f>
        <v>2329.6</v>
      </c>
      <c r="Q8" s="117">
        <f>('INSUMOS DE PREPARACION'!$D$9*'INGRESO POR VENTAS'!Q4)+('INSUMOS DE PREPARACION'!$I$9*'INGRESO POR VENTAS'!Q9)+('INSUMOS DE PREPARACION'!$D$21*'INGRESO POR VENTAS'!Q5)+('INSUMOS DE PREPARACION'!$D$33*'INGRESO POR VENTAS'!Q6)+('INSUMOS DE PREPARACION'!$D$45*'INGRESO POR VENTAS'!Q7)+('INSUMOS DE PREPARACION'!$D$54*'INGRESO POR VENTAS'!Q8)+('INSUMOS DE PREPARACION'!$D$66*'INGRESO POR VENTAS'!Q10)+('INSUMOS DE PREPARACION'!$D$78*'INGRESO POR VENTAS'!Q11)+('INSUMOS DE PREPARACION'!$D$90*'INGRESO POR VENTAS'!Q12)+('INSUMOS DE PREPARACION'!$D$98*'INGRESO POR VENTAS'!Q13)+('INSUMOS DE PREPARACION'!$D$103*'INGRESO POR VENTAS'!Q14)</f>
        <v>2329.6</v>
      </c>
      <c r="R8" s="117">
        <f>('INSUMOS DE PREPARACION'!$D$9*'INGRESO POR VENTAS'!R4)+('INSUMOS DE PREPARACION'!$I$9*'INGRESO POR VENTAS'!R9)+('INSUMOS DE PREPARACION'!$D$21*'INGRESO POR VENTAS'!R5)+('INSUMOS DE PREPARACION'!$D$33*'INGRESO POR VENTAS'!R6)+('INSUMOS DE PREPARACION'!$D$45*'INGRESO POR VENTAS'!R7)+('INSUMOS DE PREPARACION'!$D$54*'INGRESO POR VENTAS'!R8)+('INSUMOS DE PREPARACION'!$D$66*'INGRESO POR VENTAS'!R10)+('INSUMOS DE PREPARACION'!$D$78*'INGRESO POR VENTAS'!R11)+('INSUMOS DE PREPARACION'!$D$90*'INGRESO POR VENTAS'!R12)+('INSUMOS DE PREPARACION'!$D$98*'INGRESO POR VENTAS'!R13)+('INSUMOS DE PREPARACION'!$D$103*'INGRESO POR VENTAS'!R14)</f>
        <v>2329.6</v>
      </c>
      <c r="S8" s="117">
        <f>('INSUMOS DE PREPARACION'!$D$9*'INGRESO POR VENTAS'!S4)+('INSUMOS DE PREPARACION'!$I$9*'INGRESO POR VENTAS'!S9)+('INSUMOS DE PREPARACION'!$D$21*'INGRESO POR VENTAS'!S5)+('INSUMOS DE PREPARACION'!$D$33*'INGRESO POR VENTAS'!S6)+('INSUMOS DE PREPARACION'!$D$45*'INGRESO POR VENTAS'!S7)+('INSUMOS DE PREPARACION'!$D$54*'INGRESO POR VENTAS'!S8)+('INSUMOS DE PREPARACION'!$D$66*'INGRESO POR VENTAS'!S10)+('INSUMOS DE PREPARACION'!$D$78*'INGRESO POR VENTAS'!S11)+('INSUMOS DE PREPARACION'!$D$90*'INGRESO POR VENTAS'!S12)+('INSUMOS DE PREPARACION'!$D$98*'INGRESO POR VENTAS'!S13)+('INSUMOS DE PREPARACION'!$D$103*'INGRESO POR VENTAS'!S14)</f>
        <v>2329.6</v>
      </c>
      <c r="T8" s="117">
        <f>('INSUMOS DE PREPARACION'!$D$9*'INGRESO POR VENTAS'!T4)+('INSUMOS DE PREPARACION'!$I$9*'INGRESO POR VENTAS'!T9)+('INSUMOS DE PREPARACION'!$D$21*'INGRESO POR VENTAS'!T5)+('INSUMOS DE PREPARACION'!$D$33*'INGRESO POR VENTAS'!T6)+('INSUMOS DE PREPARACION'!$D$45*'INGRESO POR VENTAS'!T7)+('INSUMOS DE PREPARACION'!$D$54*'INGRESO POR VENTAS'!T8)+('INSUMOS DE PREPARACION'!$D$66*'INGRESO POR VENTAS'!T10)+('INSUMOS DE PREPARACION'!$D$78*'INGRESO POR VENTAS'!T11)+('INSUMOS DE PREPARACION'!$D$90*'INGRESO POR VENTAS'!T12)+('INSUMOS DE PREPARACION'!$D$98*'INGRESO POR VENTAS'!T13)+('INSUMOS DE PREPARACION'!$D$103*'INGRESO POR VENTAS'!T14)</f>
        <v>2329.6</v>
      </c>
      <c r="U8" s="117">
        <f>('INSUMOS DE PREPARACION'!$D$9*'INGRESO POR VENTAS'!U4)+('INSUMOS DE PREPARACION'!$I$9*'INGRESO POR VENTAS'!U9)+('INSUMOS DE PREPARACION'!$D$21*'INGRESO POR VENTAS'!U5)+('INSUMOS DE PREPARACION'!$D$33*'INGRESO POR VENTAS'!U6)+('INSUMOS DE PREPARACION'!$D$45*'INGRESO POR VENTAS'!U7)+('INSUMOS DE PREPARACION'!$D$54*'INGRESO POR VENTAS'!U8)+('INSUMOS DE PREPARACION'!$D$66*'INGRESO POR VENTAS'!U10)+('INSUMOS DE PREPARACION'!$D$78*'INGRESO POR VENTAS'!U11)+('INSUMOS DE PREPARACION'!$D$90*'INGRESO POR VENTAS'!U12)+('INSUMOS DE PREPARACION'!$D$98*'INGRESO POR VENTAS'!U13)+('INSUMOS DE PREPARACION'!$D$103*'INGRESO POR VENTAS'!U14)</f>
        <v>2329.6</v>
      </c>
      <c r="V8" s="117">
        <f>('INSUMOS DE PREPARACION'!$D$9*'INGRESO POR VENTAS'!V4)+('INSUMOS DE PREPARACION'!$I$9*'INGRESO POR VENTAS'!V9)+('INSUMOS DE PREPARACION'!$D$21*'INGRESO POR VENTAS'!V5)+('INSUMOS DE PREPARACION'!$D$33*'INGRESO POR VENTAS'!V6)+('INSUMOS DE PREPARACION'!$D$45*'INGRESO POR VENTAS'!V7)+('INSUMOS DE PREPARACION'!$D$54*'INGRESO POR VENTAS'!V8)+('INSUMOS DE PREPARACION'!$D$66*'INGRESO POR VENTAS'!V10)+('INSUMOS DE PREPARACION'!$D$78*'INGRESO POR VENTAS'!V11)+('INSUMOS DE PREPARACION'!$D$90*'INGRESO POR VENTAS'!V12)+('INSUMOS DE PREPARACION'!$D$98*'INGRESO POR VENTAS'!V13)+('INSUMOS DE PREPARACION'!$D$103*'INGRESO POR VENTAS'!V14)</f>
        <v>2329.6</v>
      </c>
      <c r="W8" s="117">
        <f>('INSUMOS DE PREPARACION'!$D$9*'INGRESO POR VENTAS'!W4)+('INSUMOS DE PREPARACION'!$I$9*'INGRESO POR VENTAS'!W9)+('INSUMOS DE PREPARACION'!$D$21*'INGRESO POR VENTAS'!W5)+('INSUMOS DE PREPARACION'!$D$33*'INGRESO POR VENTAS'!W6)+('INSUMOS DE PREPARACION'!$D$45*'INGRESO POR VENTAS'!W7)+('INSUMOS DE PREPARACION'!$D$54*'INGRESO POR VENTAS'!W8)+('INSUMOS DE PREPARACION'!$D$66*'INGRESO POR VENTAS'!W10)+('INSUMOS DE PREPARACION'!$D$78*'INGRESO POR VENTAS'!W11)+('INSUMOS DE PREPARACION'!$D$90*'INGRESO POR VENTAS'!W12)+('INSUMOS DE PREPARACION'!$D$98*'INGRESO POR VENTAS'!W13)+('INSUMOS DE PREPARACION'!$D$103*'INGRESO POR VENTAS'!W14)</f>
        <v>2329.6</v>
      </c>
      <c r="X8" s="117">
        <f>('INSUMOS DE PREPARACION'!$D$9*'INGRESO POR VENTAS'!X4)+('INSUMOS DE PREPARACION'!$I$9*'INGRESO POR VENTAS'!X9)+('INSUMOS DE PREPARACION'!$D$21*'INGRESO POR VENTAS'!X5)+('INSUMOS DE PREPARACION'!$D$33*'INGRESO POR VENTAS'!X6)+('INSUMOS DE PREPARACION'!$D$45*'INGRESO POR VENTAS'!X7)+('INSUMOS DE PREPARACION'!$D$54*'INGRESO POR VENTAS'!X8)+('INSUMOS DE PREPARACION'!$D$66*'INGRESO POR VENTAS'!X10)+('INSUMOS DE PREPARACION'!$D$78*'INGRESO POR VENTAS'!X11)+('INSUMOS DE PREPARACION'!$D$90*'INGRESO POR VENTAS'!X12)+('INSUMOS DE PREPARACION'!$D$98*'INGRESO POR VENTAS'!X13)+('INSUMOS DE PREPARACION'!$D$103*'INGRESO POR VENTAS'!X14)</f>
        <v>2329.6</v>
      </c>
      <c r="Y8" s="117">
        <f>('INSUMOS DE PREPARACION'!$D$9*'INGRESO POR VENTAS'!Y4)+('INSUMOS DE PREPARACION'!$I$9*'INGRESO POR VENTAS'!Y9)+('INSUMOS DE PREPARACION'!$D$21*'INGRESO POR VENTAS'!Y5)+('INSUMOS DE PREPARACION'!$D$33*'INGRESO POR VENTAS'!Y6)+('INSUMOS DE PREPARACION'!$D$45*'INGRESO POR VENTAS'!Y7)+('INSUMOS DE PREPARACION'!$D$54*'INGRESO POR VENTAS'!Y8)+('INSUMOS DE PREPARACION'!$D$66*'INGRESO POR VENTAS'!Y10)+('INSUMOS DE PREPARACION'!$D$78*'INGRESO POR VENTAS'!Y11)+('INSUMOS DE PREPARACION'!$D$90*'INGRESO POR VENTAS'!Y12)+('INSUMOS DE PREPARACION'!$D$98*'INGRESO POR VENTAS'!Y13)+('INSUMOS DE PREPARACION'!$D$103*'INGRESO POR VENTAS'!Y14)</f>
        <v>2329.6</v>
      </c>
    </row>
    <row r="9" spans="1:25" x14ac:dyDescent="0.25">
      <c r="A9" s="35" t="str">
        <f>'INSUMOS DE PREPARACION'!B10</f>
        <v>chorizo</v>
      </c>
      <c r="B9" s="117">
        <f>('INSUMOS DE PREPARACION'!$D$10*'INGRESO POR VENTAS'!B4)+('INSUMOS DE PREPARACION'!$I$10*'INGRESO POR VENTAS'!B9)+('INSUMOS DE PREPARACION'!$D$22*'INGRESO POR VENTAS'!B5)+('INSUMOS DE PREPARACION'!$D$34*'INGRESO POR VENTAS'!B6)+('INSUMOS DE PREPARACION'!$D$46*'INGRESO POR VENTAS'!B7)+('INSUMOS DE PREPARACION'!$D$55*'INGRESO POR VENTAS'!B8)+('INSUMOS DE PREPARACION'!$D$67*'INGRESO POR VENTAS'!B10)+('INSUMOS DE PREPARACION'!$D$79*'INGRESO POR VENTAS'!B11)</f>
        <v>4004</v>
      </c>
      <c r="C9" s="117">
        <f>('INSUMOS DE PREPARACION'!$D$10*'INGRESO POR VENTAS'!C4)+('INSUMOS DE PREPARACION'!$I$10*'INGRESO POR VENTAS'!C9)+('INSUMOS DE PREPARACION'!$D$22*'INGRESO POR VENTAS'!C5)+('INSUMOS DE PREPARACION'!$D$34*'INGRESO POR VENTAS'!C6)+('INSUMOS DE PREPARACION'!$D$46*'INGRESO POR VENTAS'!C7)+('INSUMOS DE PREPARACION'!$D$55*'INGRESO POR VENTAS'!C8)+('INSUMOS DE PREPARACION'!$D$67*'INGRESO POR VENTAS'!C10)+('INSUMOS DE PREPARACION'!$D$79*'INGRESO POR VENTAS'!C11)</f>
        <v>4004</v>
      </c>
      <c r="D9" s="117">
        <f>('INSUMOS DE PREPARACION'!$D$10*'INGRESO POR VENTAS'!D4)+('INSUMOS DE PREPARACION'!$I$10*'INGRESO POR VENTAS'!D9)+('INSUMOS DE PREPARACION'!$D$22*'INGRESO POR VENTAS'!D5)+('INSUMOS DE PREPARACION'!$D$34*'INGRESO POR VENTAS'!D6)+('INSUMOS DE PREPARACION'!$D$46*'INGRESO POR VENTAS'!D7)+('INSUMOS DE PREPARACION'!$D$55*'INGRESO POR VENTAS'!D8)+('INSUMOS DE PREPARACION'!$D$67*'INGRESO POR VENTAS'!D10)+('INSUMOS DE PREPARACION'!$D$79*'INGRESO POR VENTAS'!D11)</f>
        <v>4004</v>
      </c>
      <c r="E9" s="117">
        <f>('INSUMOS DE PREPARACION'!$D$10*'INGRESO POR VENTAS'!E4)+('INSUMOS DE PREPARACION'!$I$10*'INGRESO POR VENTAS'!E9)+('INSUMOS DE PREPARACION'!$D$22*'INGRESO POR VENTAS'!E5)+('INSUMOS DE PREPARACION'!$D$34*'INGRESO POR VENTAS'!E6)+('INSUMOS DE PREPARACION'!$D$46*'INGRESO POR VENTAS'!E7)+('INSUMOS DE PREPARACION'!$D$55*'INGRESO POR VENTAS'!E8)+('INSUMOS DE PREPARACION'!$D$67*'INGRESO POR VENTAS'!E10)+('INSUMOS DE PREPARACION'!$D$79*'INGRESO POR VENTAS'!E11)</f>
        <v>2002</v>
      </c>
      <c r="F9" s="117">
        <f>('INSUMOS DE PREPARACION'!$D$10*'INGRESO POR VENTAS'!F4)+('INSUMOS DE PREPARACION'!$I$10*'INGRESO POR VENTAS'!F9)+('INSUMOS DE PREPARACION'!$D$22*'INGRESO POR VENTAS'!F5)+('INSUMOS DE PREPARACION'!$D$34*'INGRESO POR VENTAS'!F6)+('INSUMOS DE PREPARACION'!$D$46*'INGRESO POR VENTAS'!F7)+('INSUMOS DE PREPARACION'!$D$55*'INGRESO POR VENTAS'!F8)+('INSUMOS DE PREPARACION'!$D$67*'INGRESO POR VENTAS'!F10)+('INSUMOS DE PREPARACION'!$D$79*'INGRESO POR VENTAS'!F11)</f>
        <v>4004</v>
      </c>
      <c r="G9" s="117">
        <f>('INSUMOS DE PREPARACION'!$D$10*'INGRESO POR VENTAS'!G4)+('INSUMOS DE PREPARACION'!$I$10*'INGRESO POR VENTAS'!G9)+('INSUMOS DE PREPARACION'!$D$22*'INGRESO POR VENTAS'!G5)+('INSUMOS DE PREPARACION'!$D$34*'INGRESO POR VENTAS'!G6)+('INSUMOS DE PREPARACION'!$D$46*'INGRESO POR VENTAS'!G7)+('INSUMOS DE PREPARACION'!$D$55*'INGRESO POR VENTAS'!G8)+('INSUMOS DE PREPARACION'!$D$67*'INGRESO POR VENTAS'!G10)+('INSUMOS DE PREPARACION'!$D$79*'INGRESO POR VENTAS'!G11)</f>
        <v>2002</v>
      </c>
      <c r="H9" s="117">
        <f>('INSUMOS DE PREPARACION'!$D$10*'INGRESO POR VENTAS'!H4)+('INSUMOS DE PREPARACION'!$I$10*'INGRESO POR VENTAS'!H9)+('INSUMOS DE PREPARACION'!$D$22*'INGRESO POR VENTAS'!H5)+('INSUMOS DE PREPARACION'!$D$34*'INGRESO POR VENTAS'!H6)+('INSUMOS DE PREPARACION'!$D$46*'INGRESO POR VENTAS'!H7)+('INSUMOS DE PREPARACION'!$D$55*'INGRESO POR VENTAS'!H8)+('INSUMOS DE PREPARACION'!$D$67*'INGRESO POR VENTAS'!H10)+('INSUMOS DE PREPARACION'!$D$79*'INGRESO POR VENTAS'!H11)</f>
        <v>4004</v>
      </c>
      <c r="I9" s="117">
        <f>('INSUMOS DE PREPARACION'!$D$10*'INGRESO POR VENTAS'!I4)+('INSUMOS DE PREPARACION'!$I$10*'INGRESO POR VENTAS'!I9)+('INSUMOS DE PREPARACION'!$D$22*'INGRESO POR VENTAS'!I5)+('INSUMOS DE PREPARACION'!$D$34*'INGRESO POR VENTAS'!I6)+('INSUMOS DE PREPARACION'!$D$46*'INGRESO POR VENTAS'!I7)+('INSUMOS DE PREPARACION'!$D$55*'INGRESO POR VENTAS'!I8)+('INSUMOS DE PREPARACION'!$D$67*'INGRESO POR VENTAS'!I10)+('INSUMOS DE PREPARACION'!$D$79*'INGRESO POR VENTAS'!I11)</f>
        <v>4004</v>
      </c>
      <c r="J9" s="117">
        <f>('INSUMOS DE PREPARACION'!$D$10*'INGRESO POR VENTAS'!J4)+('INSUMOS DE PREPARACION'!$I$10*'INGRESO POR VENTAS'!J9)+('INSUMOS DE PREPARACION'!$D$22*'INGRESO POR VENTAS'!J5)+('INSUMOS DE PREPARACION'!$D$34*'INGRESO POR VENTAS'!J6)+('INSUMOS DE PREPARACION'!$D$46*'INGRESO POR VENTAS'!J7)+('INSUMOS DE PREPARACION'!$D$55*'INGRESO POR VENTAS'!J8)+('INSUMOS DE PREPARACION'!$D$67*'INGRESO POR VENTAS'!J10)+('INSUMOS DE PREPARACION'!$D$79*'INGRESO POR VENTAS'!J11)</f>
        <v>4004</v>
      </c>
      <c r="K9" s="117">
        <f>('INSUMOS DE PREPARACION'!$D$10*'INGRESO POR VENTAS'!K4)+('INSUMOS DE PREPARACION'!$I$10*'INGRESO POR VENTAS'!K9)+('INSUMOS DE PREPARACION'!$D$22*'INGRESO POR VENTAS'!K5)+('INSUMOS DE PREPARACION'!$D$34*'INGRESO POR VENTAS'!K6)+('INSUMOS DE PREPARACION'!$D$46*'INGRESO POR VENTAS'!K7)+('INSUMOS DE PREPARACION'!$D$55*'INGRESO POR VENTAS'!K8)+('INSUMOS DE PREPARACION'!$D$67*'INGRESO POR VENTAS'!K10)+('INSUMOS DE PREPARACION'!$D$79*'INGRESO POR VENTAS'!K11)</f>
        <v>4004</v>
      </c>
      <c r="L9" s="117">
        <f>('INSUMOS DE PREPARACION'!$D$10*'INGRESO POR VENTAS'!L4)+('INSUMOS DE PREPARACION'!$I$10*'INGRESO POR VENTAS'!L9)+('INSUMOS DE PREPARACION'!$D$22*'INGRESO POR VENTAS'!L5)+('INSUMOS DE PREPARACION'!$D$34*'INGRESO POR VENTAS'!L6)+('INSUMOS DE PREPARACION'!$D$46*'INGRESO POR VENTAS'!L7)+('INSUMOS DE PREPARACION'!$D$55*'INGRESO POR VENTAS'!L8)+('INSUMOS DE PREPARACION'!$D$67*'INGRESO POR VENTAS'!L10)+('INSUMOS DE PREPARACION'!$D$79*'INGRESO POR VENTAS'!L11)</f>
        <v>4004</v>
      </c>
      <c r="M9" s="117">
        <f>('INSUMOS DE PREPARACION'!$D$10*'INGRESO POR VENTAS'!M4)+('INSUMOS DE PREPARACION'!$I$10*'INGRESO POR VENTAS'!M9)+('INSUMOS DE PREPARACION'!$D$22*'INGRESO POR VENTAS'!M5)+('INSUMOS DE PREPARACION'!$D$34*'INGRESO POR VENTAS'!M6)+('INSUMOS DE PREPARACION'!$D$46*'INGRESO POR VENTAS'!M7)+('INSUMOS DE PREPARACION'!$D$55*'INGRESO POR VENTAS'!M8)+('INSUMOS DE PREPARACION'!$D$67*'INGRESO POR VENTAS'!M10)+('INSUMOS DE PREPARACION'!$D$79*'INGRESO POR VENTAS'!M11)</f>
        <v>4004</v>
      </c>
      <c r="N9" s="117">
        <f>('INSUMOS DE PREPARACION'!$D$10*'INGRESO POR VENTAS'!N4)+('INSUMOS DE PREPARACION'!$I$10*'INGRESO POR VENTAS'!N9)+('INSUMOS DE PREPARACION'!$D$22*'INGRESO POR VENTAS'!N5)+('INSUMOS DE PREPARACION'!$D$34*'INGRESO POR VENTAS'!N6)+('INSUMOS DE PREPARACION'!$D$46*'INGRESO POR VENTAS'!N7)+('INSUMOS DE PREPARACION'!$D$55*'INGRESO POR VENTAS'!N8)+('INSUMOS DE PREPARACION'!$D$67*'INGRESO POR VENTAS'!N10)+('INSUMOS DE PREPARACION'!$D$79*'INGRESO POR VENTAS'!N11)</f>
        <v>4004</v>
      </c>
      <c r="O9" s="117">
        <f>('INSUMOS DE PREPARACION'!$D$10*'INGRESO POR VENTAS'!O4)+('INSUMOS DE PREPARACION'!$I$10*'INGRESO POR VENTAS'!O9)+('INSUMOS DE PREPARACION'!$D$22*'INGRESO POR VENTAS'!O5)+('INSUMOS DE PREPARACION'!$D$34*'INGRESO POR VENTAS'!O6)+('INSUMOS DE PREPARACION'!$D$46*'INGRESO POR VENTAS'!O7)+('INSUMOS DE PREPARACION'!$D$55*'INGRESO POR VENTAS'!O8)+('INSUMOS DE PREPARACION'!$D$67*'INGRESO POR VENTAS'!O10)+('INSUMOS DE PREPARACION'!$D$79*'INGRESO POR VENTAS'!O11)</f>
        <v>4004</v>
      </c>
      <c r="P9" s="117">
        <f>('INSUMOS DE PREPARACION'!$D$10*'INGRESO POR VENTAS'!P4)+('INSUMOS DE PREPARACION'!$I$10*'INGRESO POR VENTAS'!P9)+('INSUMOS DE PREPARACION'!$D$22*'INGRESO POR VENTAS'!P5)+('INSUMOS DE PREPARACION'!$D$34*'INGRESO POR VENTAS'!P6)+('INSUMOS DE PREPARACION'!$D$46*'INGRESO POR VENTAS'!P7)+('INSUMOS DE PREPARACION'!$D$55*'INGRESO POR VENTAS'!P8)+('INSUMOS DE PREPARACION'!$D$67*'INGRESO POR VENTAS'!P10)+('INSUMOS DE PREPARACION'!$D$79*'INGRESO POR VENTAS'!P11)</f>
        <v>4004</v>
      </c>
      <c r="Q9" s="117">
        <f>('INSUMOS DE PREPARACION'!$D$10*'INGRESO POR VENTAS'!Q4)+('INSUMOS DE PREPARACION'!$I$10*'INGRESO POR VENTAS'!Q9)+('INSUMOS DE PREPARACION'!$D$22*'INGRESO POR VENTAS'!Q5)+('INSUMOS DE PREPARACION'!$D$34*'INGRESO POR VENTAS'!Q6)+('INSUMOS DE PREPARACION'!$D$46*'INGRESO POR VENTAS'!Q7)+('INSUMOS DE PREPARACION'!$D$55*'INGRESO POR VENTAS'!Q8)+('INSUMOS DE PREPARACION'!$D$67*'INGRESO POR VENTAS'!Q10)+('INSUMOS DE PREPARACION'!$D$79*'INGRESO POR VENTAS'!Q11)</f>
        <v>4004</v>
      </c>
      <c r="R9" s="117">
        <f>('INSUMOS DE PREPARACION'!$D$10*'INGRESO POR VENTAS'!R4)+('INSUMOS DE PREPARACION'!$I$10*'INGRESO POR VENTAS'!R9)+('INSUMOS DE PREPARACION'!$D$22*'INGRESO POR VENTAS'!R5)+('INSUMOS DE PREPARACION'!$D$34*'INGRESO POR VENTAS'!R6)+('INSUMOS DE PREPARACION'!$D$46*'INGRESO POR VENTAS'!R7)+('INSUMOS DE PREPARACION'!$D$55*'INGRESO POR VENTAS'!R8)+('INSUMOS DE PREPARACION'!$D$67*'INGRESO POR VENTAS'!R10)+('INSUMOS DE PREPARACION'!$D$79*'INGRESO POR VENTAS'!R11)</f>
        <v>4004</v>
      </c>
      <c r="S9" s="117">
        <f>('INSUMOS DE PREPARACION'!$D$10*'INGRESO POR VENTAS'!S4)+('INSUMOS DE PREPARACION'!$I$10*'INGRESO POR VENTAS'!S9)+('INSUMOS DE PREPARACION'!$D$22*'INGRESO POR VENTAS'!S5)+('INSUMOS DE PREPARACION'!$D$34*'INGRESO POR VENTAS'!S6)+('INSUMOS DE PREPARACION'!$D$46*'INGRESO POR VENTAS'!S7)+('INSUMOS DE PREPARACION'!$D$55*'INGRESO POR VENTAS'!S8)+('INSUMOS DE PREPARACION'!$D$67*'INGRESO POR VENTAS'!S10)+('INSUMOS DE PREPARACION'!$D$79*'INGRESO POR VENTAS'!S11)</f>
        <v>4004</v>
      </c>
      <c r="T9" s="117">
        <f>('INSUMOS DE PREPARACION'!$D$10*'INGRESO POR VENTAS'!T4)+('INSUMOS DE PREPARACION'!$I$10*'INGRESO POR VENTAS'!T9)+('INSUMOS DE PREPARACION'!$D$22*'INGRESO POR VENTAS'!T5)+('INSUMOS DE PREPARACION'!$D$34*'INGRESO POR VENTAS'!T6)+('INSUMOS DE PREPARACION'!$D$46*'INGRESO POR VENTAS'!T7)+('INSUMOS DE PREPARACION'!$D$55*'INGRESO POR VENTAS'!T8)+('INSUMOS DE PREPARACION'!$D$67*'INGRESO POR VENTAS'!T10)+('INSUMOS DE PREPARACION'!$D$79*'INGRESO POR VENTAS'!T11)</f>
        <v>4004</v>
      </c>
      <c r="U9" s="117">
        <f>('INSUMOS DE PREPARACION'!$D$10*'INGRESO POR VENTAS'!U4)+('INSUMOS DE PREPARACION'!$I$10*'INGRESO POR VENTAS'!U9)+('INSUMOS DE PREPARACION'!$D$22*'INGRESO POR VENTAS'!U5)+('INSUMOS DE PREPARACION'!$D$34*'INGRESO POR VENTAS'!U6)+('INSUMOS DE PREPARACION'!$D$46*'INGRESO POR VENTAS'!U7)+('INSUMOS DE PREPARACION'!$D$55*'INGRESO POR VENTAS'!U8)+('INSUMOS DE PREPARACION'!$D$67*'INGRESO POR VENTAS'!U10)+('INSUMOS DE PREPARACION'!$D$79*'INGRESO POR VENTAS'!U11)</f>
        <v>4004</v>
      </c>
      <c r="V9" s="117">
        <f>('INSUMOS DE PREPARACION'!$D$10*'INGRESO POR VENTAS'!V4)+('INSUMOS DE PREPARACION'!$I$10*'INGRESO POR VENTAS'!V9)+('INSUMOS DE PREPARACION'!$D$22*'INGRESO POR VENTAS'!V5)+('INSUMOS DE PREPARACION'!$D$34*'INGRESO POR VENTAS'!V6)+('INSUMOS DE PREPARACION'!$D$46*'INGRESO POR VENTAS'!V7)+('INSUMOS DE PREPARACION'!$D$55*'INGRESO POR VENTAS'!V8)+('INSUMOS DE PREPARACION'!$D$67*'INGRESO POR VENTAS'!V10)+('INSUMOS DE PREPARACION'!$D$79*'INGRESO POR VENTAS'!V11)</f>
        <v>4004</v>
      </c>
      <c r="W9" s="117">
        <f>('INSUMOS DE PREPARACION'!$D$10*'INGRESO POR VENTAS'!W4)+('INSUMOS DE PREPARACION'!$I$10*'INGRESO POR VENTAS'!W9)+('INSUMOS DE PREPARACION'!$D$22*'INGRESO POR VENTAS'!W5)+('INSUMOS DE PREPARACION'!$D$34*'INGRESO POR VENTAS'!W6)+('INSUMOS DE PREPARACION'!$D$46*'INGRESO POR VENTAS'!W7)+('INSUMOS DE PREPARACION'!$D$55*'INGRESO POR VENTAS'!W8)+('INSUMOS DE PREPARACION'!$D$67*'INGRESO POR VENTAS'!W10)+('INSUMOS DE PREPARACION'!$D$79*'INGRESO POR VENTAS'!W11)</f>
        <v>4004</v>
      </c>
      <c r="X9" s="117">
        <f>('INSUMOS DE PREPARACION'!$D$10*'INGRESO POR VENTAS'!X4)+('INSUMOS DE PREPARACION'!$I$10*'INGRESO POR VENTAS'!X9)+('INSUMOS DE PREPARACION'!$D$22*'INGRESO POR VENTAS'!X5)+('INSUMOS DE PREPARACION'!$D$34*'INGRESO POR VENTAS'!X6)+('INSUMOS DE PREPARACION'!$D$46*'INGRESO POR VENTAS'!X7)+('INSUMOS DE PREPARACION'!$D$55*'INGRESO POR VENTAS'!X8)+('INSUMOS DE PREPARACION'!$D$67*'INGRESO POR VENTAS'!X10)+('INSUMOS DE PREPARACION'!$D$79*'INGRESO POR VENTAS'!X11)</f>
        <v>4004</v>
      </c>
      <c r="Y9" s="117">
        <f>('INSUMOS DE PREPARACION'!$D$10*'INGRESO POR VENTAS'!Y4)+('INSUMOS DE PREPARACION'!$I$10*'INGRESO POR VENTAS'!Y9)+('INSUMOS DE PREPARACION'!$D$22*'INGRESO POR VENTAS'!Y5)+('INSUMOS DE PREPARACION'!$D$34*'INGRESO POR VENTAS'!Y6)+('INSUMOS DE PREPARACION'!$D$46*'INGRESO POR VENTAS'!Y7)+('INSUMOS DE PREPARACION'!$D$55*'INGRESO POR VENTAS'!Y8)+('INSUMOS DE PREPARACION'!$D$67*'INGRESO POR VENTAS'!Y10)+('INSUMOS DE PREPARACION'!$D$79*'INGRESO POR VENTAS'!Y11)</f>
        <v>4004</v>
      </c>
    </row>
    <row r="10" spans="1:25" x14ac:dyDescent="0.25">
      <c r="A10" s="35" t="str">
        <f>'INSUMOS DE PREPARACION'!B11</f>
        <v>lechuga</v>
      </c>
      <c r="B10" s="117">
        <f>('INSUMOS DE PREPARACION'!$D$11*'INGRESO POR VENTAS'!B4)+('INSUMOS DE PREPARACION'!$I$11*'INGRESO POR VENTAS'!B9)+('INSUMOS DE PREPARACION'!$D$23*'INGRESO POR VENTAS'!B5)+('INSUMOS DE PREPARACION'!$D$35*'INGRESO POR VENTAS'!B6)+('INSUMOS DE PREPARACION'!$D$56*'INGRESO POR VENTAS'!B8)+('INSUMOS DE PREPARACION'!$D$68*'INGRESO POR VENTAS'!B10)+('INSUMOS DE PREPARACION'!$D$80*'INGRESO POR VENTAS'!B11)+('INSUMOS DE PREPARACION'!$D$91*'INGRESO POR VENTAS'!B12)+('INSUMOS DE PREPARACION'!$D$104*'INGRESO POR VENTAS'!B14)</f>
        <v>896</v>
      </c>
      <c r="C10" s="117">
        <f>('INSUMOS DE PREPARACION'!$D$11*'INGRESO POR VENTAS'!C4)+('INSUMOS DE PREPARACION'!$I$11*'INGRESO POR VENTAS'!C9)+('INSUMOS DE PREPARACION'!$D$23*'INGRESO POR VENTAS'!C5)+('INSUMOS DE PREPARACION'!$D$35*'INGRESO POR VENTAS'!C6)+('INSUMOS DE PREPARACION'!$D$56*'INGRESO POR VENTAS'!C8)+('INSUMOS DE PREPARACION'!$D$68*'INGRESO POR VENTAS'!C10)+('INSUMOS DE PREPARACION'!$D$80*'INGRESO POR VENTAS'!C11)+('INSUMOS DE PREPARACION'!$D$91*'INGRESO POR VENTAS'!C12)+('INSUMOS DE PREPARACION'!$D$104*'INGRESO POR VENTAS'!C14)</f>
        <v>896</v>
      </c>
      <c r="D10" s="117">
        <f>('INSUMOS DE PREPARACION'!$D$11*'INGRESO POR VENTAS'!D4)+('INSUMOS DE PREPARACION'!$I$11*'INGRESO POR VENTAS'!D9)+('INSUMOS DE PREPARACION'!$D$23*'INGRESO POR VENTAS'!D5)+('INSUMOS DE PREPARACION'!$D$35*'INGRESO POR VENTAS'!D6)+('INSUMOS DE PREPARACION'!$D$56*'INGRESO POR VENTAS'!D8)+('INSUMOS DE PREPARACION'!$D$68*'INGRESO POR VENTAS'!D10)+('INSUMOS DE PREPARACION'!$D$80*'INGRESO POR VENTAS'!D11)+('INSUMOS DE PREPARACION'!$D$91*'INGRESO POR VENTAS'!D12)+('INSUMOS DE PREPARACION'!$D$104*'INGRESO POR VENTAS'!D14)</f>
        <v>896</v>
      </c>
      <c r="E10" s="117">
        <f>('INSUMOS DE PREPARACION'!$D$11*'INGRESO POR VENTAS'!E4)+('INSUMOS DE PREPARACION'!$I$11*'INGRESO POR VENTAS'!E9)+('INSUMOS DE PREPARACION'!$D$23*'INGRESO POR VENTAS'!E5)+('INSUMOS DE PREPARACION'!$D$35*'INGRESO POR VENTAS'!E6)+('INSUMOS DE PREPARACION'!$D$56*'INGRESO POR VENTAS'!E8)+('INSUMOS DE PREPARACION'!$D$68*'INGRESO POR VENTAS'!E10)+('INSUMOS DE PREPARACION'!$D$80*'INGRESO POR VENTAS'!E11)+('INSUMOS DE PREPARACION'!$D$91*'INGRESO POR VENTAS'!E12)+('INSUMOS DE PREPARACION'!$D$104*'INGRESO POR VENTAS'!E14)</f>
        <v>448</v>
      </c>
      <c r="F10" s="117">
        <f>('INSUMOS DE PREPARACION'!$D$11*'INGRESO POR VENTAS'!F4)+('INSUMOS DE PREPARACION'!$I$11*'INGRESO POR VENTAS'!F9)+('INSUMOS DE PREPARACION'!$D$23*'INGRESO POR VENTAS'!F5)+('INSUMOS DE PREPARACION'!$D$35*'INGRESO POR VENTAS'!F6)+('INSUMOS DE PREPARACION'!$D$56*'INGRESO POR VENTAS'!F8)+('INSUMOS DE PREPARACION'!$D$68*'INGRESO POR VENTAS'!F10)+('INSUMOS DE PREPARACION'!$D$80*'INGRESO POR VENTAS'!F11)+('INSUMOS DE PREPARACION'!$D$91*'INGRESO POR VENTAS'!F12)+('INSUMOS DE PREPARACION'!$D$104*'INGRESO POR VENTAS'!F14)</f>
        <v>896</v>
      </c>
      <c r="G10" s="117">
        <f>('INSUMOS DE PREPARACION'!$D$11*'INGRESO POR VENTAS'!G4)+('INSUMOS DE PREPARACION'!$I$11*'INGRESO POR VENTAS'!G9)+('INSUMOS DE PREPARACION'!$D$23*'INGRESO POR VENTAS'!G5)+('INSUMOS DE PREPARACION'!$D$35*'INGRESO POR VENTAS'!G6)+('INSUMOS DE PREPARACION'!$D$56*'INGRESO POR VENTAS'!G8)+('INSUMOS DE PREPARACION'!$D$68*'INGRESO POR VENTAS'!G10)+('INSUMOS DE PREPARACION'!$D$80*'INGRESO POR VENTAS'!G11)+('INSUMOS DE PREPARACION'!$D$91*'INGRESO POR VENTAS'!G12)+('INSUMOS DE PREPARACION'!$D$104*'INGRESO POR VENTAS'!G14)</f>
        <v>448</v>
      </c>
      <c r="H10" s="117">
        <f>('INSUMOS DE PREPARACION'!$D$11*'INGRESO POR VENTAS'!H4)+('INSUMOS DE PREPARACION'!$I$11*'INGRESO POR VENTAS'!H9)+('INSUMOS DE PREPARACION'!$D$23*'INGRESO POR VENTAS'!H5)+('INSUMOS DE PREPARACION'!$D$35*'INGRESO POR VENTAS'!H6)+('INSUMOS DE PREPARACION'!$D$56*'INGRESO POR VENTAS'!H8)+('INSUMOS DE PREPARACION'!$D$68*'INGRESO POR VENTAS'!H10)+('INSUMOS DE PREPARACION'!$D$80*'INGRESO POR VENTAS'!H11)+('INSUMOS DE PREPARACION'!$D$91*'INGRESO POR VENTAS'!H12)+('INSUMOS DE PREPARACION'!$D$104*'INGRESO POR VENTAS'!H14)</f>
        <v>896</v>
      </c>
      <c r="I10" s="117">
        <f>('INSUMOS DE PREPARACION'!$D$11*'INGRESO POR VENTAS'!I4)+('INSUMOS DE PREPARACION'!$I$11*'INGRESO POR VENTAS'!I9)+('INSUMOS DE PREPARACION'!$D$23*'INGRESO POR VENTAS'!I5)+('INSUMOS DE PREPARACION'!$D$35*'INGRESO POR VENTAS'!I6)+('INSUMOS DE PREPARACION'!$D$56*'INGRESO POR VENTAS'!I8)+('INSUMOS DE PREPARACION'!$D$68*'INGRESO POR VENTAS'!I10)+('INSUMOS DE PREPARACION'!$D$80*'INGRESO POR VENTAS'!I11)+('INSUMOS DE PREPARACION'!$D$91*'INGRESO POR VENTAS'!I12)+('INSUMOS DE PREPARACION'!$D$104*'INGRESO POR VENTAS'!I14)</f>
        <v>896</v>
      </c>
      <c r="J10" s="117">
        <f>('INSUMOS DE PREPARACION'!$D$11*'INGRESO POR VENTAS'!J4)+('INSUMOS DE PREPARACION'!$I$11*'INGRESO POR VENTAS'!J9)+('INSUMOS DE PREPARACION'!$D$23*'INGRESO POR VENTAS'!J5)+('INSUMOS DE PREPARACION'!$D$35*'INGRESO POR VENTAS'!J6)+('INSUMOS DE PREPARACION'!$D$56*'INGRESO POR VENTAS'!J8)+('INSUMOS DE PREPARACION'!$D$68*'INGRESO POR VENTAS'!J10)+('INSUMOS DE PREPARACION'!$D$80*'INGRESO POR VENTAS'!J11)+('INSUMOS DE PREPARACION'!$D$91*'INGRESO POR VENTAS'!J12)+('INSUMOS DE PREPARACION'!$D$104*'INGRESO POR VENTAS'!J14)</f>
        <v>896</v>
      </c>
      <c r="K10" s="117">
        <f>('INSUMOS DE PREPARACION'!$D$11*'INGRESO POR VENTAS'!K4)+('INSUMOS DE PREPARACION'!$I$11*'INGRESO POR VENTAS'!K9)+('INSUMOS DE PREPARACION'!$D$23*'INGRESO POR VENTAS'!K5)+('INSUMOS DE PREPARACION'!$D$35*'INGRESO POR VENTAS'!K6)+('INSUMOS DE PREPARACION'!$D$56*'INGRESO POR VENTAS'!K8)+('INSUMOS DE PREPARACION'!$D$68*'INGRESO POR VENTAS'!K10)+('INSUMOS DE PREPARACION'!$D$80*'INGRESO POR VENTAS'!K11)+('INSUMOS DE PREPARACION'!$D$91*'INGRESO POR VENTAS'!K12)+('INSUMOS DE PREPARACION'!$D$104*'INGRESO POR VENTAS'!K14)</f>
        <v>896</v>
      </c>
      <c r="L10" s="117">
        <f>('INSUMOS DE PREPARACION'!$D$11*'INGRESO POR VENTAS'!L4)+('INSUMOS DE PREPARACION'!$I$11*'INGRESO POR VENTAS'!L9)+('INSUMOS DE PREPARACION'!$D$23*'INGRESO POR VENTAS'!L5)+('INSUMOS DE PREPARACION'!$D$35*'INGRESO POR VENTAS'!L6)+('INSUMOS DE PREPARACION'!$D$56*'INGRESO POR VENTAS'!L8)+('INSUMOS DE PREPARACION'!$D$68*'INGRESO POR VENTAS'!L10)+('INSUMOS DE PREPARACION'!$D$80*'INGRESO POR VENTAS'!L11)+('INSUMOS DE PREPARACION'!$D$91*'INGRESO POR VENTAS'!L12)+('INSUMOS DE PREPARACION'!$D$104*'INGRESO POR VENTAS'!L14)</f>
        <v>896</v>
      </c>
      <c r="M10" s="117">
        <f>('INSUMOS DE PREPARACION'!$D$11*'INGRESO POR VENTAS'!M4)+('INSUMOS DE PREPARACION'!$I$11*'INGRESO POR VENTAS'!M9)+('INSUMOS DE PREPARACION'!$D$23*'INGRESO POR VENTAS'!M5)+('INSUMOS DE PREPARACION'!$D$35*'INGRESO POR VENTAS'!M6)+('INSUMOS DE PREPARACION'!$D$56*'INGRESO POR VENTAS'!M8)+('INSUMOS DE PREPARACION'!$D$68*'INGRESO POR VENTAS'!M10)+('INSUMOS DE PREPARACION'!$D$80*'INGRESO POR VENTAS'!M11)+('INSUMOS DE PREPARACION'!$D$91*'INGRESO POR VENTAS'!M12)+('INSUMOS DE PREPARACION'!$D$104*'INGRESO POR VENTAS'!M14)</f>
        <v>896</v>
      </c>
      <c r="N10" s="117">
        <f>('INSUMOS DE PREPARACION'!$D$11*'INGRESO POR VENTAS'!N4)+('INSUMOS DE PREPARACION'!$I$11*'INGRESO POR VENTAS'!N9)+('INSUMOS DE PREPARACION'!$D$23*'INGRESO POR VENTAS'!N5)+('INSUMOS DE PREPARACION'!$D$35*'INGRESO POR VENTAS'!N6)+('INSUMOS DE PREPARACION'!$D$56*'INGRESO POR VENTAS'!N8)+('INSUMOS DE PREPARACION'!$D$68*'INGRESO POR VENTAS'!N10)+('INSUMOS DE PREPARACION'!$D$80*'INGRESO POR VENTAS'!N11)+('INSUMOS DE PREPARACION'!$D$91*'INGRESO POR VENTAS'!N12)+('INSUMOS DE PREPARACION'!$D$104*'INGRESO POR VENTAS'!N14)</f>
        <v>896</v>
      </c>
      <c r="O10" s="117">
        <f>('INSUMOS DE PREPARACION'!$D$11*'INGRESO POR VENTAS'!O4)+('INSUMOS DE PREPARACION'!$I$11*'INGRESO POR VENTAS'!O9)+('INSUMOS DE PREPARACION'!$D$23*'INGRESO POR VENTAS'!O5)+('INSUMOS DE PREPARACION'!$D$35*'INGRESO POR VENTAS'!O6)+('INSUMOS DE PREPARACION'!$D$56*'INGRESO POR VENTAS'!O8)+('INSUMOS DE PREPARACION'!$D$68*'INGRESO POR VENTAS'!O10)+('INSUMOS DE PREPARACION'!$D$80*'INGRESO POR VENTAS'!O11)+('INSUMOS DE PREPARACION'!$D$91*'INGRESO POR VENTAS'!O12)+('INSUMOS DE PREPARACION'!$D$104*'INGRESO POR VENTAS'!O14)</f>
        <v>896</v>
      </c>
      <c r="P10" s="117">
        <f>('INSUMOS DE PREPARACION'!$D$11*'INGRESO POR VENTAS'!P4)+('INSUMOS DE PREPARACION'!$I$11*'INGRESO POR VENTAS'!P9)+('INSUMOS DE PREPARACION'!$D$23*'INGRESO POR VENTAS'!P5)+('INSUMOS DE PREPARACION'!$D$35*'INGRESO POR VENTAS'!P6)+('INSUMOS DE PREPARACION'!$D$56*'INGRESO POR VENTAS'!P8)+('INSUMOS DE PREPARACION'!$D$68*'INGRESO POR VENTAS'!P10)+('INSUMOS DE PREPARACION'!$D$80*'INGRESO POR VENTAS'!P11)+('INSUMOS DE PREPARACION'!$D$91*'INGRESO POR VENTAS'!P12)+('INSUMOS DE PREPARACION'!$D$104*'INGRESO POR VENTAS'!P14)</f>
        <v>896</v>
      </c>
      <c r="Q10" s="117">
        <f>('INSUMOS DE PREPARACION'!$D$11*'INGRESO POR VENTAS'!Q4)+('INSUMOS DE PREPARACION'!$I$11*'INGRESO POR VENTAS'!Q9)+('INSUMOS DE PREPARACION'!$D$23*'INGRESO POR VENTAS'!Q5)+('INSUMOS DE PREPARACION'!$D$35*'INGRESO POR VENTAS'!Q6)+('INSUMOS DE PREPARACION'!$D$56*'INGRESO POR VENTAS'!Q8)+('INSUMOS DE PREPARACION'!$D$68*'INGRESO POR VENTAS'!Q10)+('INSUMOS DE PREPARACION'!$D$80*'INGRESO POR VENTAS'!Q11)+('INSUMOS DE PREPARACION'!$D$91*'INGRESO POR VENTAS'!Q12)+('INSUMOS DE PREPARACION'!$D$104*'INGRESO POR VENTAS'!Q14)</f>
        <v>896</v>
      </c>
      <c r="R10" s="117">
        <f>('INSUMOS DE PREPARACION'!$D$11*'INGRESO POR VENTAS'!R4)+('INSUMOS DE PREPARACION'!$I$11*'INGRESO POR VENTAS'!R9)+('INSUMOS DE PREPARACION'!$D$23*'INGRESO POR VENTAS'!R5)+('INSUMOS DE PREPARACION'!$D$35*'INGRESO POR VENTAS'!R6)+('INSUMOS DE PREPARACION'!$D$56*'INGRESO POR VENTAS'!R8)+('INSUMOS DE PREPARACION'!$D$68*'INGRESO POR VENTAS'!R10)+('INSUMOS DE PREPARACION'!$D$80*'INGRESO POR VENTAS'!R11)+('INSUMOS DE PREPARACION'!$D$91*'INGRESO POR VENTAS'!R12)+('INSUMOS DE PREPARACION'!$D$104*'INGRESO POR VENTAS'!R14)</f>
        <v>896</v>
      </c>
      <c r="S10" s="117">
        <f>('INSUMOS DE PREPARACION'!$D$11*'INGRESO POR VENTAS'!S4)+('INSUMOS DE PREPARACION'!$I$11*'INGRESO POR VENTAS'!S9)+('INSUMOS DE PREPARACION'!$D$23*'INGRESO POR VENTAS'!S5)+('INSUMOS DE PREPARACION'!$D$35*'INGRESO POR VENTAS'!S6)+('INSUMOS DE PREPARACION'!$D$56*'INGRESO POR VENTAS'!S8)+('INSUMOS DE PREPARACION'!$D$68*'INGRESO POR VENTAS'!S10)+('INSUMOS DE PREPARACION'!$D$80*'INGRESO POR VENTAS'!S11)+('INSUMOS DE PREPARACION'!$D$91*'INGRESO POR VENTAS'!S12)+('INSUMOS DE PREPARACION'!$D$104*'INGRESO POR VENTAS'!S14)</f>
        <v>896</v>
      </c>
      <c r="T10" s="117">
        <f>('INSUMOS DE PREPARACION'!$D$11*'INGRESO POR VENTAS'!T4)+('INSUMOS DE PREPARACION'!$I$11*'INGRESO POR VENTAS'!T9)+('INSUMOS DE PREPARACION'!$D$23*'INGRESO POR VENTAS'!T5)+('INSUMOS DE PREPARACION'!$D$35*'INGRESO POR VENTAS'!T6)+('INSUMOS DE PREPARACION'!$D$56*'INGRESO POR VENTAS'!T8)+('INSUMOS DE PREPARACION'!$D$68*'INGRESO POR VENTAS'!T10)+('INSUMOS DE PREPARACION'!$D$80*'INGRESO POR VENTAS'!T11)+('INSUMOS DE PREPARACION'!$D$91*'INGRESO POR VENTAS'!T12)+('INSUMOS DE PREPARACION'!$D$104*'INGRESO POR VENTAS'!T14)</f>
        <v>896</v>
      </c>
      <c r="U10" s="117">
        <f>('INSUMOS DE PREPARACION'!$D$11*'INGRESO POR VENTAS'!U4)+('INSUMOS DE PREPARACION'!$I$11*'INGRESO POR VENTAS'!U9)+('INSUMOS DE PREPARACION'!$D$23*'INGRESO POR VENTAS'!U5)+('INSUMOS DE PREPARACION'!$D$35*'INGRESO POR VENTAS'!U6)+('INSUMOS DE PREPARACION'!$D$56*'INGRESO POR VENTAS'!U8)+('INSUMOS DE PREPARACION'!$D$68*'INGRESO POR VENTAS'!U10)+('INSUMOS DE PREPARACION'!$D$80*'INGRESO POR VENTAS'!U11)+('INSUMOS DE PREPARACION'!$D$91*'INGRESO POR VENTAS'!U12)+('INSUMOS DE PREPARACION'!$D$104*'INGRESO POR VENTAS'!U14)</f>
        <v>896</v>
      </c>
      <c r="V10" s="117">
        <f>('INSUMOS DE PREPARACION'!$D$11*'INGRESO POR VENTAS'!V4)+('INSUMOS DE PREPARACION'!$I$11*'INGRESO POR VENTAS'!V9)+('INSUMOS DE PREPARACION'!$D$23*'INGRESO POR VENTAS'!V5)+('INSUMOS DE PREPARACION'!$D$35*'INGRESO POR VENTAS'!V6)+('INSUMOS DE PREPARACION'!$D$56*'INGRESO POR VENTAS'!V8)+('INSUMOS DE PREPARACION'!$D$68*'INGRESO POR VENTAS'!V10)+('INSUMOS DE PREPARACION'!$D$80*'INGRESO POR VENTAS'!V11)+('INSUMOS DE PREPARACION'!$D$91*'INGRESO POR VENTAS'!V12)+('INSUMOS DE PREPARACION'!$D$104*'INGRESO POR VENTAS'!V14)</f>
        <v>896</v>
      </c>
      <c r="W10" s="117">
        <f>('INSUMOS DE PREPARACION'!$D$11*'INGRESO POR VENTAS'!W4)+('INSUMOS DE PREPARACION'!$I$11*'INGRESO POR VENTAS'!W9)+('INSUMOS DE PREPARACION'!$D$23*'INGRESO POR VENTAS'!W5)+('INSUMOS DE PREPARACION'!$D$35*'INGRESO POR VENTAS'!W6)+('INSUMOS DE PREPARACION'!$D$56*'INGRESO POR VENTAS'!W8)+('INSUMOS DE PREPARACION'!$D$68*'INGRESO POR VENTAS'!W10)+('INSUMOS DE PREPARACION'!$D$80*'INGRESO POR VENTAS'!W11)+('INSUMOS DE PREPARACION'!$D$91*'INGRESO POR VENTAS'!W12)+('INSUMOS DE PREPARACION'!$D$104*'INGRESO POR VENTAS'!W14)</f>
        <v>896</v>
      </c>
      <c r="X10" s="117">
        <f>('INSUMOS DE PREPARACION'!$D$11*'INGRESO POR VENTAS'!X4)+('INSUMOS DE PREPARACION'!$I$11*'INGRESO POR VENTAS'!X9)+('INSUMOS DE PREPARACION'!$D$23*'INGRESO POR VENTAS'!X5)+('INSUMOS DE PREPARACION'!$D$35*'INGRESO POR VENTAS'!X6)+('INSUMOS DE PREPARACION'!$D$56*'INGRESO POR VENTAS'!X8)+('INSUMOS DE PREPARACION'!$D$68*'INGRESO POR VENTAS'!X10)+('INSUMOS DE PREPARACION'!$D$80*'INGRESO POR VENTAS'!X11)+('INSUMOS DE PREPARACION'!$D$91*'INGRESO POR VENTAS'!X12)+('INSUMOS DE PREPARACION'!$D$104*'INGRESO POR VENTAS'!X14)</f>
        <v>896</v>
      </c>
      <c r="Y10" s="117">
        <f>('INSUMOS DE PREPARACION'!$D$11*'INGRESO POR VENTAS'!Y4)+('INSUMOS DE PREPARACION'!$I$11*'INGRESO POR VENTAS'!Y9)+('INSUMOS DE PREPARACION'!$D$23*'INGRESO POR VENTAS'!Y5)+('INSUMOS DE PREPARACION'!$D$35*'INGRESO POR VENTAS'!Y6)+('INSUMOS DE PREPARACION'!$D$56*'INGRESO POR VENTAS'!Y8)+('INSUMOS DE PREPARACION'!$D$68*'INGRESO POR VENTAS'!Y10)+('INSUMOS DE PREPARACION'!$D$80*'INGRESO POR VENTAS'!Y11)+('INSUMOS DE PREPARACION'!$D$91*'INGRESO POR VENTAS'!Y12)+('INSUMOS DE PREPARACION'!$D$104*'INGRESO POR VENTAS'!Y14)</f>
        <v>896</v>
      </c>
    </row>
    <row r="11" spans="1:25" x14ac:dyDescent="0.25">
      <c r="A11" s="35" t="str">
        <f>'INSUMOS DE PREPARACION'!B12</f>
        <v>tomate</v>
      </c>
      <c r="B11" s="117">
        <f>('INSUMOS DE PREPARACION'!$D$12*'INGRESO POR VENTAS'!B4)+('INSUMOS DE PREPARACION'!$I$12*'INGRESO POR VENTAS'!B9)+('INSUMOS DE PREPARACION'!$D$24*'INGRESO POR VENTAS'!B5)+('INSUMOS DE PREPARACION'!$D$36*'INGRESO POR VENTAS'!B6)+('INSUMOS DE PREPARACION'!$D$57*'INGRESO POR VENTAS'!B8)+('INSUMOS DE PREPARACION'!$D$69*'INGRESO POR VENTAS'!B10)+('INSUMOS DE PREPARACION'!$D$81*'INGRESO POR VENTAS'!B11)+('INSUMOS DE PREPARACION'!$D$92*'INGRESO POR VENTAS'!B12)+('INSUMOS DE PREPARACION'!$D$105*'INGRESO POR VENTAS'!B14)</f>
        <v>896</v>
      </c>
      <c r="C11" s="117">
        <f>('INSUMOS DE PREPARACION'!$D$12*'INGRESO POR VENTAS'!C4)+('INSUMOS DE PREPARACION'!$I$12*'INGRESO POR VENTAS'!C9)+('INSUMOS DE PREPARACION'!$D$24*'INGRESO POR VENTAS'!C5)+('INSUMOS DE PREPARACION'!$D$36*'INGRESO POR VENTAS'!C6)+('INSUMOS DE PREPARACION'!$D$57*'INGRESO POR VENTAS'!C8)+('INSUMOS DE PREPARACION'!$D$69*'INGRESO POR VENTAS'!C10)+('INSUMOS DE PREPARACION'!$D$81*'INGRESO POR VENTAS'!C11)+('INSUMOS DE PREPARACION'!$D$92*'INGRESO POR VENTAS'!C12)+('INSUMOS DE PREPARACION'!$D$105*'INGRESO POR VENTAS'!C14)</f>
        <v>896</v>
      </c>
      <c r="D11" s="117">
        <f>('INSUMOS DE PREPARACION'!$D$12*'INGRESO POR VENTAS'!D4)+('INSUMOS DE PREPARACION'!$I$12*'INGRESO POR VENTAS'!D9)+('INSUMOS DE PREPARACION'!$D$24*'INGRESO POR VENTAS'!D5)+('INSUMOS DE PREPARACION'!$D$36*'INGRESO POR VENTAS'!D6)+('INSUMOS DE PREPARACION'!$D$57*'INGRESO POR VENTAS'!D8)+('INSUMOS DE PREPARACION'!$D$69*'INGRESO POR VENTAS'!D10)+('INSUMOS DE PREPARACION'!$D$81*'INGRESO POR VENTAS'!D11)+('INSUMOS DE PREPARACION'!$D$92*'INGRESO POR VENTAS'!D12)+('INSUMOS DE PREPARACION'!$D$105*'INGRESO POR VENTAS'!D14)</f>
        <v>896</v>
      </c>
      <c r="E11" s="117">
        <f>('INSUMOS DE PREPARACION'!$D$12*'INGRESO POR VENTAS'!E4)+('INSUMOS DE PREPARACION'!$I$12*'INGRESO POR VENTAS'!E9)+('INSUMOS DE PREPARACION'!$D$24*'INGRESO POR VENTAS'!E5)+('INSUMOS DE PREPARACION'!$D$36*'INGRESO POR VENTAS'!E6)+('INSUMOS DE PREPARACION'!$D$57*'INGRESO POR VENTAS'!E8)+('INSUMOS DE PREPARACION'!$D$69*'INGRESO POR VENTAS'!E10)+('INSUMOS DE PREPARACION'!$D$81*'INGRESO POR VENTAS'!E11)+('INSUMOS DE PREPARACION'!$D$92*'INGRESO POR VENTAS'!E12)+('INSUMOS DE PREPARACION'!$D$105*'INGRESO POR VENTAS'!E14)</f>
        <v>448</v>
      </c>
      <c r="F11" s="117">
        <f>('INSUMOS DE PREPARACION'!$D$12*'INGRESO POR VENTAS'!F4)+('INSUMOS DE PREPARACION'!$I$12*'INGRESO POR VENTAS'!F9)+('INSUMOS DE PREPARACION'!$D$24*'INGRESO POR VENTAS'!F5)+('INSUMOS DE PREPARACION'!$D$36*'INGRESO POR VENTAS'!F6)+('INSUMOS DE PREPARACION'!$D$57*'INGRESO POR VENTAS'!F8)+('INSUMOS DE PREPARACION'!$D$69*'INGRESO POR VENTAS'!F10)+('INSUMOS DE PREPARACION'!$D$81*'INGRESO POR VENTAS'!F11)+('INSUMOS DE PREPARACION'!$D$92*'INGRESO POR VENTAS'!F12)+('INSUMOS DE PREPARACION'!$D$105*'INGRESO POR VENTAS'!F14)</f>
        <v>896</v>
      </c>
      <c r="G11" s="117">
        <f>('INSUMOS DE PREPARACION'!$D$12*'INGRESO POR VENTAS'!G4)+('INSUMOS DE PREPARACION'!$I$12*'INGRESO POR VENTAS'!G9)+('INSUMOS DE PREPARACION'!$D$24*'INGRESO POR VENTAS'!G5)+('INSUMOS DE PREPARACION'!$D$36*'INGRESO POR VENTAS'!G6)+('INSUMOS DE PREPARACION'!$D$57*'INGRESO POR VENTAS'!G8)+('INSUMOS DE PREPARACION'!$D$69*'INGRESO POR VENTAS'!G10)+('INSUMOS DE PREPARACION'!$D$81*'INGRESO POR VENTAS'!G11)+('INSUMOS DE PREPARACION'!$D$92*'INGRESO POR VENTAS'!G12)+('INSUMOS DE PREPARACION'!$D$105*'INGRESO POR VENTAS'!G14)</f>
        <v>448</v>
      </c>
      <c r="H11" s="117">
        <f>('INSUMOS DE PREPARACION'!$D$12*'INGRESO POR VENTAS'!H4)+('INSUMOS DE PREPARACION'!$I$12*'INGRESO POR VENTAS'!H9)+('INSUMOS DE PREPARACION'!$D$24*'INGRESO POR VENTAS'!H5)+('INSUMOS DE PREPARACION'!$D$36*'INGRESO POR VENTAS'!H6)+('INSUMOS DE PREPARACION'!$D$57*'INGRESO POR VENTAS'!H8)+('INSUMOS DE PREPARACION'!$D$69*'INGRESO POR VENTAS'!H10)+('INSUMOS DE PREPARACION'!$D$81*'INGRESO POR VENTAS'!H11)+('INSUMOS DE PREPARACION'!$D$92*'INGRESO POR VENTAS'!H12)+('INSUMOS DE PREPARACION'!$D$105*'INGRESO POR VENTAS'!H14)</f>
        <v>896</v>
      </c>
      <c r="I11" s="117">
        <f>('INSUMOS DE PREPARACION'!$D$12*'INGRESO POR VENTAS'!I4)+('INSUMOS DE PREPARACION'!$I$12*'INGRESO POR VENTAS'!I9)+('INSUMOS DE PREPARACION'!$D$24*'INGRESO POR VENTAS'!I5)+('INSUMOS DE PREPARACION'!$D$36*'INGRESO POR VENTAS'!I6)+('INSUMOS DE PREPARACION'!$D$57*'INGRESO POR VENTAS'!I8)+('INSUMOS DE PREPARACION'!$D$69*'INGRESO POR VENTAS'!I10)+('INSUMOS DE PREPARACION'!$D$81*'INGRESO POR VENTAS'!I11)+('INSUMOS DE PREPARACION'!$D$92*'INGRESO POR VENTAS'!I12)+('INSUMOS DE PREPARACION'!$D$105*'INGRESO POR VENTAS'!I14)</f>
        <v>896</v>
      </c>
      <c r="J11" s="117">
        <f>('INSUMOS DE PREPARACION'!$D$12*'INGRESO POR VENTAS'!J4)+('INSUMOS DE PREPARACION'!$I$12*'INGRESO POR VENTAS'!J9)+('INSUMOS DE PREPARACION'!$D$24*'INGRESO POR VENTAS'!J5)+('INSUMOS DE PREPARACION'!$D$36*'INGRESO POR VENTAS'!J6)+('INSUMOS DE PREPARACION'!$D$57*'INGRESO POR VENTAS'!J8)+('INSUMOS DE PREPARACION'!$D$69*'INGRESO POR VENTAS'!J10)+('INSUMOS DE PREPARACION'!$D$81*'INGRESO POR VENTAS'!J11)+('INSUMOS DE PREPARACION'!$D$92*'INGRESO POR VENTAS'!J12)+('INSUMOS DE PREPARACION'!$D$105*'INGRESO POR VENTAS'!J14)</f>
        <v>896</v>
      </c>
      <c r="K11" s="117">
        <f>('INSUMOS DE PREPARACION'!$D$12*'INGRESO POR VENTAS'!K4)+('INSUMOS DE PREPARACION'!$I$12*'INGRESO POR VENTAS'!K9)+('INSUMOS DE PREPARACION'!$D$24*'INGRESO POR VENTAS'!K5)+('INSUMOS DE PREPARACION'!$D$36*'INGRESO POR VENTAS'!K6)+('INSUMOS DE PREPARACION'!$D$57*'INGRESO POR VENTAS'!K8)+('INSUMOS DE PREPARACION'!$D$69*'INGRESO POR VENTAS'!K10)+('INSUMOS DE PREPARACION'!$D$81*'INGRESO POR VENTAS'!K11)+('INSUMOS DE PREPARACION'!$D$92*'INGRESO POR VENTAS'!K12)+('INSUMOS DE PREPARACION'!$D$105*'INGRESO POR VENTAS'!K14)</f>
        <v>896</v>
      </c>
      <c r="L11" s="117">
        <f>('INSUMOS DE PREPARACION'!$D$12*'INGRESO POR VENTAS'!L4)+('INSUMOS DE PREPARACION'!$I$12*'INGRESO POR VENTAS'!L9)+('INSUMOS DE PREPARACION'!$D$24*'INGRESO POR VENTAS'!L5)+('INSUMOS DE PREPARACION'!$D$36*'INGRESO POR VENTAS'!L6)+('INSUMOS DE PREPARACION'!$D$57*'INGRESO POR VENTAS'!L8)+('INSUMOS DE PREPARACION'!$D$69*'INGRESO POR VENTAS'!L10)+('INSUMOS DE PREPARACION'!$D$81*'INGRESO POR VENTAS'!L11)+('INSUMOS DE PREPARACION'!$D$92*'INGRESO POR VENTAS'!L12)+('INSUMOS DE PREPARACION'!$D$105*'INGRESO POR VENTAS'!L14)</f>
        <v>896</v>
      </c>
      <c r="M11" s="117">
        <f>('INSUMOS DE PREPARACION'!$D$12*'INGRESO POR VENTAS'!M4)+('INSUMOS DE PREPARACION'!$I$12*'INGRESO POR VENTAS'!M9)+('INSUMOS DE PREPARACION'!$D$24*'INGRESO POR VENTAS'!M5)+('INSUMOS DE PREPARACION'!$D$36*'INGRESO POR VENTAS'!M6)+('INSUMOS DE PREPARACION'!$D$57*'INGRESO POR VENTAS'!M8)+('INSUMOS DE PREPARACION'!$D$69*'INGRESO POR VENTAS'!M10)+('INSUMOS DE PREPARACION'!$D$81*'INGRESO POR VENTAS'!M11)+('INSUMOS DE PREPARACION'!$D$92*'INGRESO POR VENTAS'!M12)+('INSUMOS DE PREPARACION'!$D$105*'INGRESO POR VENTAS'!M14)</f>
        <v>896</v>
      </c>
      <c r="N11" s="117">
        <f>('INSUMOS DE PREPARACION'!$D$12*'INGRESO POR VENTAS'!N4)+('INSUMOS DE PREPARACION'!$I$12*'INGRESO POR VENTAS'!N9)+('INSUMOS DE PREPARACION'!$D$24*'INGRESO POR VENTAS'!N5)+('INSUMOS DE PREPARACION'!$D$36*'INGRESO POR VENTAS'!N6)+('INSUMOS DE PREPARACION'!$D$57*'INGRESO POR VENTAS'!N8)+('INSUMOS DE PREPARACION'!$D$69*'INGRESO POR VENTAS'!N10)+('INSUMOS DE PREPARACION'!$D$81*'INGRESO POR VENTAS'!N11)+('INSUMOS DE PREPARACION'!$D$92*'INGRESO POR VENTAS'!N12)+('INSUMOS DE PREPARACION'!$D$105*'INGRESO POR VENTAS'!N14)</f>
        <v>896</v>
      </c>
      <c r="O11" s="117">
        <f>('INSUMOS DE PREPARACION'!$D$12*'INGRESO POR VENTAS'!O4)+('INSUMOS DE PREPARACION'!$I$12*'INGRESO POR VENTAS'!O9)+('INSUMOS DE PREPARACION'!$D$24*'INGRESO POR VENTAS'!O5)+('INSUMOS DE PREPARACION'!$D$36*'INGRESO POR VENTAS'!O6)+('INSUMOS DE PREPARACION'!$D$57*'INGRESO POR VENTAS'!O8)+('INSUMOS DE PREPARACION'!$D$69*'INGRESO POR VENTAS'!O10)+('INSUMOS DE PREPARACION'!$D$81*'INGRESO POR VENTAS'!O11)+('INSUMOS DE PREPARACION'!$D$92*'INGRESO POR VENTAS'!O12)+('INSUMOS DE PREPARACION'!$D$105*'INGRESO POR VENTAS'!O14)</f>
        <v>896</v>
      </c>
      <c r="P11" s="117">
        <f>('INSUMOS DE PREPARACION'!$D$12*'INGRESO POR VENTAS'!P4)+('INSUMOS DE PREPARACION'!$I$12*'INGRESO POR VENTAS'!P9)+('INSUMOS DE PREPARACION'!$D$24*'INGRESO POR VENTAS'!P5)+('INSUMOS DE PREPARACION'!$D$36*'INGRESO POR VENTAS'!P6)+('INSUMOS DE PREPARACION'!$D$57*'INGRESO POR VENTAS'!P8)+('INSUMOS DE PREPARACION'!$D$69*'INGRESO POR VENTAS'!P10)+('INSUMOS DE PREPARACION'!$D$81*'INGRESO POR VENTAS'!P11)+('INSUMOS DE PREPARACION'!$D$92*'INGRESO POR VENTAS'!P12)+('INSUMOS DE PREPARACION'!$D$105*'INGRESO POR VENTAS'!P14)</f>
        <v>896</v>
      </c>
      <c r="Q11" s="117">
        <f>('INSUMOS DE PREPARACION'!$D$12*'INGRESO POR VENTAS'!Q4)+('INSUMOS DE PREPARACION'!$I$12*'INGRESO POR VENTAS'!Q9)+('INSUMOS DE PREPARACION'!$D$24*'INGRESO POR VENTAS'!Q5)+('INSUMOS DE PREPARACION'!$D$36*'INGRESO POR VENTAS'!Q6)+('INSUMOS DE PREPARACION'!$D$57*'INGRESO POR VENTAS'!Q8)+('INSUMOS DE PREPARACION'!$D$69*'INGRESO POR VENTAS'!Q10)+('INSUMOS DE PREPARACION'!$D$81*'INGRESO POR VENTAS'!Q11)+('INSUMOS DE PREPARACION'!$D$92*'INGRESO POR VENTAS'!Q12)+('INSUMOS DE PREPARACION'!$D$105*'INGRESO POR VENTAS'!Q14)</f>
        <v>896</v>
      </c>
      <c r="R11" s="117">
        <f>('INSUMOS DE PREPARACION'!$D$12*'INGRESO POR VENTAS'!R4)+('INSUMOS DE PREPARACION'!$I$12*'INGRESO POR VENTAS'!R9)+('INSUMOS DE PREPARACION'!$D$24*'INGRESO POR VENTAS'!R5)+('INSUMOS DE PREPARACION'!$D$36*'INGRESO POR VENTAS'!R6)+('INSUMOS DE PREPARACION'!$D$57*'INGRESO POR VENTAS'!R8)+('INSUMOS DE PREPARACION'!$D$69*'INGRESO POR VENTAS'!R10)+('INSUMOS DE PREPARACION'!$D$81*'INGRESO POR VENTAS'!R11)+('INSUMOS DE PREPARACION'!$D$92*'INGRESO POR VENTAS'!R12)+('INSUMOS DE PREPARACION'!$D$105*'INGRESO POR VENTAS'!R14)</f>
        <v>896</v>
      </c>
      <c r="S11" s="117">
        <f>('INSUMOS DE PREPARACION'!$D$12*'INGRESO POR VENTAS'!S4)+('INSUMOS DE PREPARACION'!$I$12*'INGRESO POR VENTAS'!S9)+('INSUMOS DE PREPARACION'!$D$24*'INGRESO POR VENTAS'!S5)+('INSUMOS DE PREPARACION'!$D$36*'INGRESO POR VENTAS'!S6)+('INSUMOS DE PREPARACION'!$D$57*'INGRESO POR VENTAS'!S8)+('INSUMOS DE PREPARACION'!$D$69*'INGRESO POR VENTAS'!S10)+('INSUMOS DE PREPARACION'!$D$81*'INGRESO POR VENTAS'!S11)+('INSUMOS DE PREPARACION'!$D$92*'INGRESO POR VENTAS'!S12)+('INSUMOS DE PREPARACION'!$D$105*'INGRESO POR VENTAS'!S14)</f>
        <v>896</v>
      </c>
      <c r="T11" s="117">
        <f>('INSUMOS DE PREPARACION'!$D$12*'INGRESO POR VENTAS'!T4)+('INSUMOS DE PREPARACION'!$I$12*'INGRESO POR VENTAS'!T9)+('INSUMOS DE PREPARACION'!$D$24*'INGRESO POR VENTAS'!T5)+('INSUMOS DE PREPARACION'!$D$36*'INGRESO POR VENTAS'!T6)+('INSUMOS DE PREPARACION'!$D$57*'INGRESO POR VENTAS'!T8)+('INSUMOS DE PREPARACION'!$D$69*'INGRESO POR VENTAS'!T10)+('INSUMOS DE PREPARACION'!$D$81*'INGRESO POR VENTAS'!T11)+('INSUMOS DE PREPARACION'!$D$92*'INGRESO POR VENTAS'!T12)+('INSUMOS DE PREPARACION'!$D$105*'INGRESO POR VENTAS'!T14)</f>
        <v>896</v>
      </c>
      <c r="U11" s="117">
        <f>('INSUMOS DE PREPARACION'!$D$12*'INGRESO POR VENTAS'!U4)+('INSUMOS DE PREPARACION'!$I$12*'INGRESO POR VENTAS'!U9)+('INSUMOS DE PREPARACION'!$D$24*'INGRESO POR VENTAS'!U5)+('INSUMOS DE PREPARACION'!$D$36*'INGRESO POR VENTAS'!U6)+('INSUMOS DE PREPARACION'!$D$57*'INGRESO POR VENTAS'!U8)+('INSUMOS DE PREPARACION'!$D$69*'INGRESO POR VENTAS'!U10)+('INSUMOS DE PREPARACION'!$D$81*'INGRESO POR VENTAS'!U11)+('INSUMOS DE PREPARACION'!$D$92*'INGRESO POR VENTAS'!U12)+('INSUMOS DE PREPARACION'!$D$105*'INGRESO POR VENTAS'!U14)</f>
        <v>896</v>
      </c>
      <c r="V11" s="117">
        <f>('INSUMOS DE PREPARACION'!$D$12*'INGRESO POR VENTAS'!V4)+('INSUMOS DE PREPARACION'!$I$12*'INGRESO POR VENTAS'!V9)+('INSUMOS DE PREPARACION'!$D$24*'INGRESO POR VENTAS'!V5)+('INSUMOS DE PREPARACION'!$D$36*'INGRESO POR VENTAS'!V6)+('INSUMOS DE PREPARACION'!$D$57*'INGRESO POR VENTAS'!V8)+('INSUMOS DE PREPARACION'!$D$69*'INGRESO POR VENTAS'!V10)+('INSUMOS DE PREPARACION'!$D$81*'INGRESO POR VENTAS'!V11)+('INSUMOS DE PREPARACION'!$D$92*'INGRESO POR VENTAS'!V12)+('INSUMOS DE PREPARACION'!$D$105*'INGRESO POR VENTAS'!V14)</f>
        <v>896</v>
      </c>
      <c r="W11" s="117">
        <f>('INSUMOS DE PREPARACION'!$D$12*'INGRESO POR VENTAS'!W4)+('INSUMOS DE PREPARACION'!$I$12*'INGRESO POR VENTAS'!W9)+('INSUMOS DE PREPARACION'!$D$24*'INGRESO POR VENTAS'!W5)+('INSUMOS DE PREPARACION'!$D$36*'INGRESO POR VENTAS'!W6)+('INSUMOS DE PREPARACION'!$D$57*'INGRESO POR VENTAS'!W8)+('INSUMOS DE PREPARACION'!$D$69*'INGRESO POR VENTAS'!W10)+('INSUMOS DE PREPARACION'!$D$81*'INGRESO POR VENTAS'!W11)+('INSUMOS DE PREPARACION'!$D$92*'INGRESO POR VENTAS'!W12)+('INSUMOS DE PREPARACION'!$D$105*'INGRESO POR VENTAS'!W14)</f>
        <v>896</v>
      </c>
      <c r="X11" s="117">
        <f>('INSUMOS DE PREPARACION'!$D$12*'INGRESO POR VENTAS'!X4)+('INSUMOS DE PREPARACION'!$I$12*'INGRESO POR VENTAS'!X9)+('INSUMOS DE PREPARACION'!$D$24*'INGRESO POR VENTAS'!X5)+('INSUMOS DE PREPARACION'!$D$36*'INGRESO POR VENTAS'!X6)+('INSUMOS DE PREPARACION'!$D$57*'INGRESO POR VENTAS'!X8)+('INSUMOS DE PREPARACION'!$D$69*'INGRESO POR VENTAS'!X10)+('INSUMOS DE PREPARACION'!$D$81*'INGRESO POR VENTAS'!X11)+('INSUMOS DE PREPARACION'!$D$92*'INGRESO POR VENTAS'!X12)+('INSUMOS DE PREPARACION'!$D$105*'INGRESO POR VENTAS'!X14)</f>
        <v>896</v>
      </c>
      <c r="Y11" s="117">
        <f>('INSUMOS DE PREPARACION'!$D$12*'INGRESO POR VENTAS'!Y4)+('INSUMOS DE PREPARACION'!$I$12*'INGRESO POR VENTAS'!Y9)+('INSUMOS DE PREPARACION'!$D$24*'INGRESO POR VENTAS'!Y5)+('INSUMOS DE PREPARACION'!$D$36*'INGRESO POR VENTAS'!Y6)+('INSUMOS DE PREPARACION'!$D$57*'INGRESO POR VENTAS'!Y8)+('INSUMOS DE PREPARACION'!$D$69*'INGRESO POR VENTAS'!Y10)+('INSUMOS DE PREPARACION'!$D$81*'INGRESO POR VENTAS'!Y11)+('INSUMOS DE PREPARACION'!$D$92*'INGRESO POR VENTAS'!Y12)+('INSUMOS DE PREPARACION'!$D$105*'INGRESO POR VENTAS'!Y14)</f>
        <v>896</v>
      </c>
    </row>
    <row r="12" spans="1:25" x14ac:dyDescent="0.25">
      <c r="A12" s="35" t="str">
        <f>'INSUMOS DE PREPARACION'!B14</f>
        <v>aderezo</v>
      </c>
      <c r="B12" s="117">
        <f>('INSUMOS DE PREPARACION'!$D$14*'INGRESO POR VENTAS'!B4)+('INSUMOS DE PREPARACION'!$I$14*'INGRESO POR VENTAS'!B9)+('INSUMOS DE PREPARACION'!$D$26*'INGRESO POR VENTAS'!B5)+('INSUMOS DE PREPARACION'!$D$38*'INGRESO POR VENTAS'!B6)+('INSUMOS DE PREPARACION'!$D$59*'INGRESO POR VENTAS'!B8)+('INSUMOS DE PREPARACION'!$D$71*'INGRESO POR VENTAS'!B10)+('INSUMOS DE PREPARACION'!$D$83*'INGRESO POR VENTAS'!B11)</f>
        <v>1302</v>
      </c>
      <c r="C12" s="117">
        <f>('INSUMOS DE PREPARACION'!$D$14*'INGRESO POR VENTAS'!C4)+('INSUMOS DE PREPARACION'!$I$14*'INGRESO POR VENTAS'!C9)+('INSUMOS DE PREPARACION'!$D$26*'INGRESO POR VENTAS'!C5)+('INSUMOS DE PREPARACION'!$D$38*'INGRESO POR VENTAS'!C6)+('INSUMOS DE PREPARACION'!$D$59*'INGRESO POR VENTAS'!C8)+('INSUMOS DE PREPARACION'!$D$71*'INGRESO POR VENTAS'!C10)+('INSUMOS DE PREPARACION'!$D$83*'INGRESO POR VENTAS'!C11)</f>
        <v>1302</v>
      </c>
      <c r="D12" s="117">
        <f>('INSUMOS DE PREPARACION'!$D$14*'INGRESO POR VENTAS'!D4)+('INSUMOS DE PREPARACION'!$I$14*'INGRESO POR VENTAS'!D9)+('INSUMOS DE PREPARACION'!$D$26*'INGRESO POR VENTAS'!D5)+('INSUMOS DE PREPARACION'!$D$38*'INGRESO POR VENTAS'!D6)+('INSUMOS DE PREPARACION'!$D$59*'INGRESO POR VENTAS'!D8)+('INSUMOS DE PREPARACION'!$D$71*'INGRESO POR VENTAS'!D10)+('INSUMOS DE PREPARACION'!$D$83*'INGRESO POR VENTAS'!D11)</f>
        <v>1302</v>
      </c>
      <c r="E12" s="117">
        <f>('INSUMOS DE PREPARACION'!$D$14*'INGRESO POR VENTAS'!E4)+('INSUMOS DE PREPARACION'!$I$14*'INGRESO POR VENTAS'!E9)+('INSUMOS DE PREPARACION'!$D$26*'INGRESO POR VENTAS'!E5)+('INSUMOS DE PREPARACION'!$D$38*'INGRESO POR VENTAS'!E6)+('INSUMOS DE PREPARACION'!$D$59*'INGRESO POR VENTAS'!E8)+('INSUMOS DE PREPARACION'!$D$71*'INGRESO POR VENTAS'!E10)+('INSUMOS DE PREPARACION'!$D$83*'INGRESO POR VENTAS'!E11)</f>
        <v>651</v>
      </c>
      <c r="F12" s="117">
        <f>('INSUMOS DE PREPARACION'!$D$14*'INGRESO POR VENTAS'!F4)+('INSUMOS DE PREPARACION'!$I$14*'INGRESO POR VENTAS'!F9)+('INSUMOS DE PREPARACION'!$D$26*'INGRESO POR VENTAS'!F5)+('INSUMOS DE PREPARACION'!$D$38*'INGRESO POR VENTAS'!F6)+('INSUMOS DE PREPARACION'!$D$59*'INGRESO POR VENTAS'!F8)+('INSUMOS DE PREPARACION'!$D$71*'INGRESO POR VENTAS'!F10)+('INSUMOS DE PREPARACION'!$D$83*'INGRESO POR VENTAS'!F11)</f>
        <v>1302</v>
      </c>
      <c r="G12" s="117">
        <f>('INSUMOS DE PREPARACION'!$D$14*'INGRESO POR VENTAS'!G4)+('INSUMOS DE PREPARACION'!$I$14*'INGRESO POR VENTAS'!G9)+('INSUMOS DE PREPARACION'!$D$26*'INGRESO POR VENTAS'!G5)+('INSUMOS DE PREPARACION'!$D$38*'INGRESO POR VENTAS'!G6)+('INSUMOS DE PREPARACION'!$D$59*'INGRESO POR VENTAS'!G8)+('INSUMOS DE PREPARACION'!$D$71*'INGRESO POR VENTAS'!G10)+('INSUMOS DE PREPARACION'!$D$83*'INGRESO POR VENTAS'!G11)</f>
        <v>651</v>
      </c>
      <c r="H12" s="117">
        <f>('INSUMOS DE PREPARACION'!$D$14*'INGRESO POR VENTAS'!H4)+('INSUMOS DE PREPARACION'!$I$14*'INGRESO POR VENTAS'!H9)+('INSUMOS DE PREPARACION'!$D$26*'INGRESO POR VENTAS'!H5)+('INSUMOS DE PREPARACION'!$D$38*'INGRESO POR VENTAS'!H6)+('INSUMOS DE PREPARACION'!$D$59*'INGRESO POR VENTAS'!H8)+('INSUMOS DE PREPARACION'!$D$71*'INGRESO POR VENTAS'!H10)+('INSUMOS DE PREPARACION'!$D$83*'INGRESO POR VENTAS'!H11)</f>
        <v>1302</v>
      </c>
      <c r="I12" s="117">
        <f>('INSUMOS DE PREPARACION'!$D$14*'INGRESO POR VENTAS'!I4)+('INSUMOS DE PREPARACION'!$I$14*'INGRESO POR VENTAS'!I9)+('INSUMOS DE PREPARACION'!$D$26*'INGRESO POR VENTAS'!I5)+('INSUMOS DE PREPARACION'!$D$38*'INGRESO POR VENTAS'!I6)+('INSUMOS DE PREPARACION'!$D$59*'INGRESO POR VENTAS'!I8)+('INSUMOS DE PREPARACION'!$D$71*'INGRESO POR VENTAS'!I10)+('INSUMOS DE PREPARACION'!$D$83*'INGRESO POR VENTAS'!I11)</f>
        <v>1302</v>
      </c>
      <c r="J12" s="117">
        <f>('INSUMOS DE PREPARACION'!$D$14*'INGRESO POR VENTAS'!J4)+('INSUMOS DE PREPARACION'!$I$14*'INGRESO POR VENTAS'!J9)+('INSUMOS DE PREPARACION'!$D$26*'INGRESO POR VENTAS'!J5)+('INSUMOS DE PREPARACION'!$D$38*'INGRESO POR VENTAS'!J6)+('INSUMOS DE PREPARACION'!$D$59*'INGRESO POR VENTAS'!J8)+('INSUMOS DE PREPARACION'!$D$71*'INGRESO POR VENTAS'!J10)+('INSUMOS DE PREPARACION'!$D$83*'INGRESO POR VENTAS'!J11)</f>
        <v>1302</v>
      </c>
      <c r="K12" s="117">
        <f>('INSUMOS DE PREPARACION'!$D$14*'INGRESO POR VENTAS'!K4)+('INSUMOS DE PREPARACION'!$I$14*'INGRESO POR VENTAS'!K9)+('INSUMOS DE PREPARACION'!$D$26*'INGRESO POR VENTAS'!K5)+('INSUMOS DE PREPARACION'!$D$38*'INGRESO POR VENTAS'!K6)+('INSUMOS DE PREPARACION'!$D$59*'INGRESO POR VENTAS'!K8)+('INSUMOS DE PREPARACION'!$D$71*'INGRESO POR VENTAS'!K10)+('INSUMOS DE PREPARACION'!$D$83*'INGRESO POR VENTAS'!K11)</f>
        <v>1302</v>
      </c>
      <c r="L12" s="117">
        <f>('INSUMOS DE PREPARACION'!$D$14*'INGRESO POR VENTAS'!L4)+('INSUMOS DE PREPARACION'!$I$14*'INGRESO POR VENTAS'!L9)+('INSUMOS DE PREPARACION'!$D$26*'INGRESO POR VENTAS'!L5)+('INSUMOS DE PREPARACION'!$D$38*'INGRESO POR VENTAS'!L6)+('INSUMOS DE PREPARACION'!$D$59*'INGRESO POR VENTAS'!L8)+('INSUMOS DE PREPARACION'!$D$71*'INGRESO POR VENTAS'!L10)+('INSUMOS DE PREPARACION'!$D$83*'INGRESO POR VENTAS'!L11)</f>
        <v>1302</v>
      </c>
      <c r="M12" s="117">
        <f>('INSUMOS DE PREPARACION'!$D$14*'INGRESO POR VENTAS'!M4)+('INSUMOS DE PREPARACION'!$I$14*'INGRESO POR VENTAS'!M9)+('INSUMOS DE PREPARACION'!$D$26*'INGRESO POR VENTAS'!M5)+('INSUMOS DE PREPARACION'!$D$38*'INGRESO POR VENTAS'!M6)+('INSUMOS DE PREPARACION'!$D$59*'INGRESO POR VENTAS'!M8)+('INSUMOS DE PREPARACION'!$D$71*'INGRESO POR VENTAS'!M10)+('INSUMOS DE PREPARACION'!$D$83*'INGRESO POR VENTAS'!M11)</f>
        <v>1302</v>
      </c>
      <c r="N12" s="117">
        <f>('INSUMOS DE PREPARACION'!$D$14*'INGRESO POR VENTAS'!N4)+('INSUMOS DE PREPARACION'!$I$14*'INGRESO POR VENTAS'!N9)+('INSUMOS DE PREPARACION'!$D$26*'INGRESO POR VENTAS'!N5)+('INSUMOS DE PREPARACION'!$D$38*'INGRESO POR VENTAS'!N6)+('INSUMOS DE PREPARACION'!$D$59*'INGRESO POR VENTAS'!N8)+('INSUMOS DE PREPARACION'!$D$71*'INGRESO POR VENTAS'!N10)+('INSUMOS DE PREPARACION'!$D$83*'INGRESO POR VENTAS'!N11)</f>
        <v>1302</v>
      </c>
      <c r="O12" s="117">
        <f>('INSUMOS DE PREPARACION'!$D$14*'INGRESO POR VENTAS'!O4)+('INSUMOS DE PREPARACION'!$I$14*'INGRESO POR VENTAS'!O9)+('INSUMOS DE PREPARACION'!$D$26*'INGRESO POR VENTAS'!O5)+('INSUMOS DE PREPARACION'!$D$38*'INGRESO POR VENTAS'!O6)+('INSUMOS DE PREPARACION'!$D$59*'INGRESO POR VENTAS'!O8)+('INSUMOS DE PREPARACION'!$D$71*'INGRESO POR VENTAS'!O10)+('INSUMOS DE PREPARACION'!$D$83*'INGRESO POR VENTAS'!O11)</f>
        <v>1302</v>
      </c>
      <c r="P12" s="117">
        <f>('INSUMOS DE PREPARACION'!$D$14*'INGRESO POR VENTAS'!P4)+('INSUMOS DE PREPARACION'!$I$14*'INGRESO POR VENTAS'!P9)+('INSUMOS DE PREPARACION'!$D$26*'INGRESO POR VENTAS'!P5)+('INSUMOS DE PREPARACION'!$D$38*'INGRESO POR VENTAS'!P6)+('INSUMOS DE PREPARACION'!$D$59*'INGRESO POR VENTAS'!P8)+('INSUMOS DE PREPARACION'!$D$71*'INGRESO POR VENTAS'!P10)+('INSUMOS DE PREPARACION'!$D$83*'INGRESO POR VENTAS'!P11)</f>
        <v>1302</v>
      </c>
      <c r="Q12" s="117">
        <f>('INSUMOS DE PREPARACION'!$D$14*'INGRESO POR VENTAS'!Q4)+('INSUMOS DE PREPARACION'!$I$14*'INGRESO POR VENTAS'!Q9)+('INSUMOS DE PREPARACION'!$D$26*'INGRESO POR VENTAS'!Q5)+('INSUMOS DE PREPARACION'!$D$38*'INGRESO POR VENTAS'!Q6)+('INSUMOS DE PREPARACION'!$D$59*'INGRESO POR VENTAS'!Q8)+('INSUMOS DE PREPARACION'!$D$71*'INGRESO POR VENTAS'!Q10)+('INSUMOS DE PREPARACION'!$D$83*'INGRESO POR VENTAS'!Q11)</f>
        <v>1302</v>
      </c>
      <c r="R12" s="117">
        <f>('INSUMOS DE PREPARACION'!$D$14*'INGRESO POR VENTAS'!R4)+('INSUMOS DE PREPARACION'!$I$14*'INGRESO POR VENTAS'!R9)+('INSUMOS DE PREPARACION'!$D$26*'INGRESO POR VENTAS'!R5)+('INSUMOS DE PREPARACION'!$D$38*'INGRESO POR VENTAS'!R6)+('INSUMOS DE PREPARACION'!$D$59*'INGRESO POR VENTAS'!R8)+('INSUMOS DE PREPARACION'!$D$71*'INGRESO POR VENTAS'!R10)+('INSUMOS DE PREPARACION'!$D$83*'INGRESO POR VENTAS'!R11)</f>
        <v>1302</v>
      </c>
      <c r="S12" s="117">
        <f>('INSUMOS DE PREPARACION'!$D$14*'INGRESO POR VENTAS'!S4)+('INSUMOS DE PREPARACION'!$I$14*'INGRESO POR VENTAS'!S9)+('INSUMOS DE PREPARACION'!$D$26*'INGRESO POR VENTAS'!S5)+('INSUMOS DE PREPARACION'!$D$38*'INGRESO POR VENTAS'!S6)+('INSUMOS DE PREPARACION'!$D$59*'INGRESO POR VENTAS'!S8)+('INSUMOS DE PREPARACION'!$D$71*'INGRESO POR VENTAS'!S10)+('INSUMOS DE PREPARACION'!$D$83*'INGRESO POR VENTAS'!S11)</f>
        <v>1302</v>
      </c>
      <c r="T12" s="117">
        <f>('INSUMOS DE PREPARACION'!$D$14*'INGRESO POR VENTAS'!T4)+('INSUMOS DE PREPARACION'!$I$14*'INGRESO POR VENTAS'!T9)+('INSUMOS DE PREPARACION'!$D$26*'INGRESO POR VENTAS'!T5)+('INSUMOS DE PREPARACION'!$D$38*'INGRESO POR VENTAS'!T6)+('INSUMOS DE PREPARACION'!$D$59*'INGRESO POR VENTAS'!T8)+('INSUMOS DE PREPARACION'!$D$71*'INGRESO POR VENTAS'!T10)+('INSUMOS DE PREPARACION'!$D$83*'INGRESO POR VENTAS'!T11)</f>
        <v>1302</v>
      </c>
      <c r="U12" s="117">
        <f>('INSUMOS DE PREPARACION'!$D$14*'INGRESO POR VENTAS'!U4)+('INSUMOS DE PREPARACION'!$I$14*'INGRESO POR VENTAS'!U9)+('INSUMOS DE PREPARACION'!$D$26*'INGRESO POR VENTAS'!U5)+('INSUMOS DE PREPARACION'!$D$38*'INGRESO POR VENTAS'!U6)+('INSUMOS DE PREPARACION'!$D$59*'INGRESO POR VENTAS'!U8)+('INSUMOS DE PREPARACION'!$D$71*'INGRESO POR VENTAS'!U10)+('INSUMOS DE PREPARACION'!$D$83*'INGRESO POR VENTAS'!U11)</f>
        <v>1302</v>
      </c>
      <c r="V12" s="117">
        <f>('INSUMOS DE PREPARACION'!$D$14*'INGRESO POR VENTAS'!V4)+('INSUMOS DE PREPARACION'!$I$14*'INGRESO POR VENTAS'!V9)+('INSUMOS DE PREPARACION'!$D$26*'INGRESO POR VENTAS'!V5)+('INSUMOS DE PREPARACION'!$D$38*'INGRESO POR VENTAS'!V6)+('INSUMOS DE PREPARACION'!$D$59*'INGRESO POR VENTAS'!V8)+('INSUMOS DE PREPARACION'!$D$71*'INGRESO POR VENTAS'!V10)+('INSUMOS DE PREPARACION'!$D$83*'INGRESO POR VENTAS'!V11)</f>
        <v>1302</v>
      </c>
      <c r="W12" s="117">
        <f>('INSUMOS DE PREPARACION'!$D$14*'INGRESO POR VENTAS'!W4)+('INSUMOS DE PREPARACION'!$I$14*'INGRESO POR VENTAS'!W9)+('INSUMOS DE PREPARACION'!$D$26*'INGRESO POR VENTAS'!W5)+('INSUMOS DE PREPARACION'!$D$38*'INGRESO POR VENTAS'!W6)+('INSUMOS DE PREPARACION'!$D$59*'INGRESO POR VENTAS'!W8)+('INSUMOS DE PREPARACION'!$D$71*'INGRESO POR VENTAS'!W10)+('INSUMOS DE PREPARACION'!$D$83*'INGRESO POR VENTAS'!W11)</f>
        <v>1302</v>
      </c>
      <c r="X12" s="117">
        <f>('INSUMOS DE PREPARACION'!$D$14*'INGRESO POR VENTAS'!X4)+('INSUMOS DE PREPARACION'!$I$14*'INGRESO POR VENTAS'!X9)+('INSUMOS DE PREPARACION'!$D$26*'INGRESO POR VENTAS'!X5)+('INSUMOS DE PREPARACION'!$D$38*'INGRESO POR VENTAS'!X6)+('INSUMOS DE PREPARACION'!$D$59*'INGRESO POR VENTAS'!X8)+('INSUMOS DE PREPARACION'!$D$71*'INGRESO POR VENTAS'!X10)+('INSUMOS DE PREPARACION'!$D$83*'INGRESO POR VENTAS'!X11)</f>
        <v>1302</v>
      </c>
      <c r="Y12" s="117">
        <f>('INSUMOS DE PREPARACION'!$D$14*'INGRESO POR VENTAS'!Y4)+('INSUMOS DE PREPARACION'!$I$14*'INGRESO POR VENTAS'!Y9)+('INSUMOS DE PREPARACION'!$D$26*'INGRESO POR VENTAS'!Y5)+('INSUMOS DE PREPARACION'!$D$38*'INGRESO POR VENTAS'!Y6)+('INSUMOS DE PREPARACION'!$D$59*'INGRESO POR VENTAS'!Y8)+('INSUMOS DE PREPARACION'!$D$71*'INGRESO POR VENTAS'!Y10)+('INSUMOS DE PREPARACION'!$D$83*'INGRESO POR VENTAS'!Y11)</f>
        <v>1302</v>
      </c>
    </row>
    <row r="13" spans="1:25" x14ac:dyDescent="0.25">
      <c r="A13" s="35" t="str">
        <f>'INSUMOS DE PREPARACION'!B15</f>
        <v>CARBON</v>
      </c>
      <c r="B13" s="117">
        <f>('INSUMOS DE PREPARACION'!$D$15*'INGRESO POR VENTAS'!B4)+('INSUMOS DE PREPARACION'!$I$15*'INGRESO POR VENTAS'!B9)+('INSUMOS DE PREPARACION'!$D$27*'INGRESO POR VENTAS'!B5)+('INSUMOS DE PREPARACION'!$D$39*'INGRESO POR VENTAS'!B6)+('INSUMOS DE PREPARACION'!$D$47*'INGRESO POR VENTAS'!B7)+('INSUMOS DE PREPARACION'!$D$60*'INGRESO POR VENTAS'!B8)+('INSUMOS DE PREPARACION'!$D$72*'INGRESO POR VENTAS'!B10)+('INSUMOS DE PREPARACION'!$D$84*'INGRESO POR VENTAS'!B11)</f>
        <v>2954</v>
      </c>
      <c r="C13" s="117">
        <f>('INSUMOS DE PREPARACION'!$D$15*'INGRESO POR VENTAS'!C4)+('INSUMOS DE PREPARACION'!$I$15*'INGRESO POR VENTAS'!C9)+('INSUMOS DE PREPARACION'!$D$27*'INGRESO POR VENTAS'!C5)+('INSUMOS DE PREPARACION'!$D$39*'INGRESO POR VENTAS'!C6)+('INSUMOS DE PREPARACION'!$D$47*'INGRESO POR VENTAS'!C7)+('INSUMOS DE PREPARACION'!$D$60*'INGRESO POR VENTAS'!C8)+('INSUMOS DE PREPARACION'!$D$72*'INGRESO POR VENTAS'!C10)+('INSUMOS DE PREPARACION'!$D$84*'INGRESO POR VENTAS'!C11)</f>
        <v>2954</v>
      </c>
      <c r="D13" s="117">
        <f>('INSUMOS DE PREPARACION'!$D$15*'INGRESO POR VENTAS'!D4)+('INSUMOS DE PREPARACION'!$I$15*'INGRESO POR VENTAS'!D9)+('INSUMOS DE PREPARACION'!$D$27*'INGRESO POR VENTAS'!D5)+('INSUMOS DE PREPARACION'!$D$39*'INGRESO POR VENTAS'!D6)+('INSUMOS DE PREPARACION'!$D$47*'INGRESO POR VENTAS'!D7)+('INSUMOS DE PREPARACION'!$D$60*'INGRESO POR VENTAS'!D8)+('INSUMOS DE PREPARACION'!$D$72*'INGRESO POR VENTAS'!D10)+('INSUMOS DE PREPARACION'!$D$84*'INGRESO POR VENTAS'!D11)</f>
        <v>2954</v>
      </c>
      <c r="E13" s="117">
        <f>('INSUMOS DE PREPARACION'!$D$15*'INGRESO POR VENTAS'!E4)+('INSUMOS DE PREPARACION'!$I$15*'INGRESO POR VENTAS'!E9)+('INSUMOS DE PREPARACION'!$D$27*'INGRESO POR VENTAS'!E5)+('INSUMOS DE PREPARACION'!$D$39*'INGRESO POR VENTAS'!E6)+('INSUMOS DE PREPARACION'!$D$47*'INGRESO POR VENTAS'!E7)+('INSUMOS DE PREPARACION'!$D$60*'INGRESO POR VENTAS'!E8)+('INSUMOS DE PREPARACION'!$D$72*'INGRESO POR VENTAS'!E10)+('INSUMOS DE PREPARACION'!$D$84*'INGRESO POR VENTAS'!E11)</f>
        <v>1477</v>
      </c>
      <c r="F13" s="117">
        <f>('INSUMOS DE PREPARACION'!$D$15*'INGRESO POR VENTAS'!F4)+('INSUMOS DE PREPARACION'!$I$15*'INGRESO POR VENTAS'!F9)+('INSUMOS DE PREPARACION'!$D$27*'INGRESO POR VENTAS'!F5)+('INSUMOS DE PREPARACION'!$D$39*'INGRESO POR VENTAS'!F6)+('INSUMOS DE PREPARACION'!$D$47*'INGRESO POR VENTAS'!F7)+('INSUMOS DE PREPARACION'!$D$60*'INGRESO POR VENTAS'!F8)+('INSUMOS DE PREPARACION'!$D$72*'INGRESO POR VENTAS'!F10)+('INSUMOS DE PREPARACION'!$D$84*'INGRESO POR VENTAS'!F11)</f>
        <v>2954</v>
      </c>
      <c r="G13" s="117">
        <f>('INSUMOS DE PREPARACION'!$D$15*'INGRESO POR VENTAS'!G4)+('INSUMOS DE PREPARACION'!$I$15*'INGRESO POR VENTAS'!G9)+('INSUMOS DE PREPARACION'!$D$27*'INGRESO POR VENTAS'!G5)+('INSUMOS DE PREPARACION'!$D$39*'INGRESO POR VENTAS'!G6)+('INSUMOS DE PREPARACION'!$D$47*'INGRESO POR VENTAS'!G7)+('INSUMOS DE PREPARACION'!$D$60*'INGRESO POR VENTAS'!G8)+('INSUMOS DE PREPARACION'!$D$72*'INGRESO POR VENTAS'!G10)+('INSUMOS DE PREPARACION'!$D$84*'INGRESO POR VENTAS'!G11)</f>
        <v>1477</v>
      </c>
      <c r="H13" s="117">
        <f>('INSUMOS DE PREPARACION'!$D$15*'INGRESO POR VENTAS'!H4)+('INSUMOS DE PREPARACION'!$I$15*'INGRESO POR VENTAS'!H9)+('INSUMOS DE PREPARACION'!$D$27*'INGRESO POR VENTAS'!H5)+('INSUMOS DE PREPARACION'!$D$39*'INGRESO POR VENTAS'!H6)+('INSUMOS DE PREPARACION'!$D$47*'INGRESO POR VENTAS'!H7)+('INSUMOS DE PREPARACION'!$D$60*'INGRESO POR VENTAS'!H8)+('INSUMOS DE PREPARACION'!$D$72*'INGRESO POR VENTAS'!H10)+('INSUMOS DE PREPARACION'!$D$84*'INGRESO POR VENTAS'!H11)</f>
        <v>2954</v>
      </c>
      <c r="I13" s="117">
        <f>('INSUMOS DE PREPARACION'!$D$15*'INGRESO POR VENTAS'!I4)+('INSUMOS DE PREPARACION'!$I$15*'INGRESO POR VENTAS'!I9)+('INSUMOS DE PREPARACION'!$D$27*'INGRESO POR VENTAS'!I5)+('INSUMOS DE PREPARACION'!$D$39*'INGRESO POR VENTAS'!I6)+('INSUMOS DE PREPARACION'!$D$47*'INGRESO POR VENTAS'!I7)+('INSUMOS DE PREPARACION'!$D$60*'INGRESO POR VENTAS'!I8)+('INSUMOS DE PREPARACION'!$D$72*'INGRESO POR VENTAS'!I10)+('INSUMOS DE PREPARACION'!$D$84*'INGRESO POR VENTAS'!I11)</f>
        <v>2954</v>
      </c>
      <c r="J13" s="117">
        <f>('INSUMOS DE PREPARACION'!$D$15*'INGRESO POR VENTAS'!J4)+('INSUMOS DE PREPARACION'!$I$15*'INGRESO POR VENTAS'!J9)+('INSUMOS DE PREPARACION'!$D$27*'INGRESO POR VENTAS'!J5)+('INSUMOS DE PREPARACION'!$D$39*'INGRESO POR VENTAS'!J6)+('INSUMOS DE PREPARACION'!$D$47*'INGRESO POR VENTAS'!J7)+('INSUMOS DE PREPARACION'!$D$60*'INGRESO POR VENTAS'!J8)+('INSUMOS DE PREPARACION'!$D$72*'INGRESO POR VENTAS'!J10)+('INSUMOS DE PREPARACION'!$D$84*'INGRESO POR VENTAS'!J11)</f>
        <v>2954</v>
      </c>
      <c r="K13" s="117">
        <f>('INSUMOS DE PREPARACION'!$D$15*'INGRESO POR VENTAS'!K4)+('INSUMOS DE PREPARACION'!$I$15*'INGRESO POR VENTAS'!K9)+('INSUMOS DE PREPARACION'!$D$27*'INGRESO POR VENTAS'!K5)+('INSUMOS DE PREPARACION'!$D$39*'INGRESO POR VENTAS'!K6)+('INSUMOS DE PREPARACION'!$D$47*'INGRESO POR VENTAS'!K7)+('INSUMOS DE PREPARACION'!$D$60*'INGRESO POR VENTAS'!K8)+('INSUMOS DE PREPARACION'!$D$72*'INGRESO POR VENTAS'!K10)+('INSUMOS DE PREPARACION'!$D$84*'INGRESO POR VENTAS'!K11)</f>
        <v>2954</v>
      </c>
      <c r="L13" s="117">
        <f>('INSUMOS DE PREPARACION'!$D$15*'INGRESO POR VENTAS'!L4)+('INSUMOS DE PREPARACION'!$I$15*'INGRESO POR VENTAS'!L9)+('INSUMOS DE PREPARACION'!$D$27*'INGRESO POR VENTAS'!L5)+('INSUMOS DE PREPARACION'!$D$39*'INGRESO POR VENTAS'!L6)+('INSUMOS DE PREPARACION'!$D$47*'INGRESO POR VENTAS'!L7)+('INSUMOS DE PREPARACION'!$D$60*'INGRESO POR VENTAS'!L8)+('INSUMOS DE PREPARACION'!$D$72*'INGRESO POR VENTAS'!L10)+('INSUMOS DE PREPARACION'!$D$84*'INGRESO POR VENTAS'!L11)</f>
        <v>2954</v>
      </c>
      <c r="M13" s="117">
        <f>('INSUMOS DE PREPARACION'!$D$15*'INGRESO POR VENTAS'!M4)+('INSUMOS DE PREPARACION'!$I$15*'INGRESO POR VENTAS'!M9)+('INSUMOS DE PREPARACION'!$D$27*'INGRESO POR VENTAS'!M5)+('INSUMOS DE PREPARACION'!$D$39*'INGRESO POR VENTAS'!M6)+('INSUMOS DE PREPARACION'!$D$47*'INGRESO POR VENTAS'!M7)+('INSUMOS DE PREPARACION'!$D$60*'INGRESO POR VENTAS'!M8)+('INSUMOS DE PREPARACION'!$D$72*'INGRESO POR VENTAS'!M10)+('INSUMOS DE PREPARACION'!$D$84*'INGRESO POR VENTAS'!M11)</f>
        <v>2954</v>
      </c>
      <c r="N13" s="117">
        <f>('INSUMOS DE PREPARACION'!$D$15*'INGRESO POR VENTAS'!N4)+('INSUMOS DE PREPARACION'!$I$15*'INGRESO POR VENTAS'!N9)+('INSUMOS DE PREPARACION'!$D$27*'INGRESO POR VENTAS'!N5)+('INSUMOS DE PREPARACION'!$D$39*'INGRESO POR VENTAS'!N6)+('INSUMOS DE PREPARACION'!$D$47*'INGRESO POR VENTAS'!N7)+('INSUMOS DE PREPARACION'!$D$60*'INGRESO POR VENTAS'!N8)+('INSUMOS DE PREPARACION'!$D$72*'INGRESO POR VENTAS'!N10)+('INSUMOS DE PREPARACION'!$D$84*'INGRESO POR VENTAS'!N11)</f>
        <v>2954</v>
      </c>
      <c r="O13" s="117">
        <f>('INSUMOS DE PREPARACION'!$D$15*'INGRESO POR VENTAS'!O4)+('INSUMOS DE PREPARACION'!$I$15*'INGRESO POR VENTAS'!O9)+('INSUMOS DE PREPARACION'!$D$27*'INGRESO POR VENTAS'!O5)+('INSUMOS DE PREPARACION'!$D$39*'INGRESO POR VENTAS'!O6)+('INSUMOS DE PREPARACION'!$D$47*'INGRESO POR VENTAS'!O7)+('INSUMOS DE PREPARACION'!$D$60*'INGRESO POR VENTAS'!O8)+('INSUMOS DE PREPARACION'!$D$72*'INGRESO POR VENTAS'!O10)+('INSUMOS DE PREPARACION'!$D$84*'INGRESO POR VENTAS'!O11)</f>
        <v>2954</v>
      </c>
      <c r="P13" s="117">
        <f>('INSUMOS DE PREPARACION'!$D$15*'INGRESO POR VENTAS'!P4)+('INSUMOS DE PREPARACION'!$I$15*'INGRESO POR VENTAS'!P9)+('INSUMOS DE PREPARACION'!$D$27*'INGRESO POR VENTAS'!P5)+('INSUMOS DE PREPARACION'!$D$39*'INGRESO POR VENTAS'!P6)+('INSUMOS DE PREPARACION'!$D$47*'INGRESO POR VENTAS'!P7)+('INSUMOS DE PREPARACION'!$D$60*'INGRESO POR VENTAS'!P8)+('INSUMOS DE PREPARACION'!$D$72*'INGRESO POR VENTAS'!P10)+('INSUMOS DE PREPARACION'!$D$84*'INGRESO POR VENTAS'!P11)</f>
        <v>2954</v>
      </c>
      <c r="Q13" s="117">
        <f>('INSUMOS DE PREPARACION'!$D$15*'INGRESO POR VENTAS'!Q4)+('INSUMOS DE PREPARACION'!$I$15*'INGRESO POR VENTAS'!Q9)+('INSUMOS DE PREPARACION'!$D$27*'INGRESO POR VENTAS'!Q5)+('INSUMOS DE PREPARACION'!$D$39*'INGRESO POR VENTAS'!Q6)+('INSUMOS DE PREPARACION'!$D$47*'INGRESO POR VENTAS'!Q7)+('INSUMOS DE PREPARACION'!$D$60*'INGRESO POR VENTAS'!Q8)+('INSUMOS DE PREPARACION'!$D$72*'INGRESO POR VENTAS'!Q10)+('INSUMOS DE PREPARACION'!$D$84*'INGRESO POR VENTAS'!Q11)</f>
        <v>2954</v>
      </c>
      <c r="R13" s="117">
        <f>('INSUMOS DE PREPARACION'!$D$15*'INGRESO POR VENTAS'!R4)+('INSUMOS DE PREPARACION'!$I$15*'INGRESO POR VENTAS'!R9)+('INSUMOS DE PREPARACION'!$D$27*'INGRESO POR VENTAS'!R5)+('INSUMOS DE PREPARACION'!$D$39*'INGRESO POR VENTAS'!R6)+('INSUMOS DE PREPARACION'!$D$47*'INGRESO POR VENTAS'!R7)+('INSUMOS DE PREPARACION'!$D$60*'INGRESO POR VENTAS'!R8)+('INSUMOS DE PREPARACION'!$D$72*'INGRESO POR VENTAS'!R10)+('INSUMOS DE PREPARACION'!$D$84*'INGRESO POR VENTAS'!R11)</f>
        <v>2954</v>
      </c>
      <c r="S13" s="117">
        <f>('INSUMOS DE PREPARACION'!$D$15*'INGRESO POR VENTAS'!S4)+('INSUMOS DE PREPARACION'!$I$15*'INGRESO POR VENTAS'!S9)+('INSUMOS DE PREPARACION'!$D$27*'INGRESO POR VENTAS'!S5)+('INSUMOS DE PREPARACION'!$D$39*'INGRESO POR VENTAS'!S6)+('INSUMOS DE PREPARACION'!$D$47*'INGRESO POR VENTAS'!S7)+('INSUMOS DE PREPARACION'!$D$60*'INGRESO POR VENTAS'!S8)+('INSUMOS DE PREPARACION'!$D$72*'INGRESO POR VENTAS'!S10)+('INSUMOS DE PREPARACION'!$D$84*'INGRESO POR VENTAS'!S11)</f>
        <v>2954</v>
      </c>
      <c r="T13" s="117">
        <f>('INSUMOS DE PREPARACION'!$D$15*'INGRESO POR VENTAS'!T4)+('INSUMOS DE PREPARACION'!$I$15*'INGRESO POR VENTAS'!T9)+('INSUMOS DE PREPARACION'!$D$27*'INGRESO POR VENTAS'!T5)+('INSUMOS DE PREPARACION'!$D$39*'INGRESO POR VENTAS'!T6)+('INSUMOS DE PREPARACION'!$D$47*'INGRESO POR VENTAS'!T7)+('INSUMOS DE PREPARACION'!$D$60*'INGRESO POR VENTAS'!T8)+('INSUMOS DE PREPARACION'!$D$72*'INGRESO POR VENTAS'!T10)+('INSUMOS DE PREPARACION'!$D$84*'INGRESO POR VENTAS'!T11)</f>
        <v>2954</v>
      </c>
      <c r="U13" s="117">
        <f>('INSUMOS DE PREPARACION'!$D$15*'INGRESO POR VENTAS'!U4)+('INSUMOS DE PREPARACION'!$I$15*'INGRESO POR VENTAS'!U9)+('INSUMOS DE PREPARACION'!$D$27*'INGRESO POR VENTAS'!U5)+('INSUMOS DE PREPARACION'!$D$39*'INGRESO POR VENTAS'!U6)+('INSUMOS DE PREPARACION'!$D$47*'INGRESO POR VENTAS'!U7)+('INSUMOS DE PREPARACION'!$D$60*'INGRESO POR VENTAS'!U8)+('INSUMOS DE PREPARACION'!$D$72*'INGRESO POR VENTAS'!U10)+('INSUMOS DE PREPARACION'!$D$84*'INGRESO POR VENTAS'!U11)</f>
        <v>2954</v>
      </c>
      <c r="V13" s="117">
        <f>('INSUMOS DE PREPARACION'!$D$15*'INGRESO POR VENTAS'!V4)+('INSUMOS DE PREPARACION'!$I$15*'INGRESO POR VENTAS'!V9)+('INSUMOS DE PREPARACION'!$D$27*'INGRESO POR VENTAS'!V5)+('INSUMOS DE PREPARACION'!$D$39*'INGRESO POR VENTAS'!V6)+('INSUMOS DE PREPARACION'!$D$47*'INGRESO POR VENTAS'!V7)+('INSUMOS DE PREPARACION'!$D$60*'INGRESO POR VENTAS'!V8)+('INSUMOS DE PREPARACION'!$D$72*'INGRESO POR VENTAS'!V10)+('INSUMOS DE PREPARACION'!$D$84*'INGRESO POR VENTAS'!V11)</f>
        <v>2954</v>
      </c>
      <c r="W13" s="117">
        <f>('INSUMOS DE PREPARACION'!$D$15*'INGRESO POR VENTAS'!W4)+('INSUMOS DE PREPARACION'!$I$15*'INGRESO POR VENTAS'!W9)+('INSUMOS DE PREPARACION'!$D$27*'INGRESO POR VENTAS'!W5)+('INSUMOS DE PREPARACION'!$D$39*'INGRESO POR VENTAS'!W6)+('INSUMOS DE PREPARACION'!$D$47*'INGRESO POR VENTAS'!W7)+('INSUMOS DE PREPARACION'!$D$60*'INGRESO POR VENTAS'!W8)+('INSUMOS DE PREPARACION'!$D$72*'INGRESO POR VENTAS'!W10)+('INSUMOS DE PREPARACION'!$D$84*'INGRESO POR VENTAS'!W11)</f>
        <v>2954</v>
      </c>
      <c r="X13" s="117">
        <f>('INSUMOS DE PREPARACION'!$D$15*'INGRESO POR VENTAS'!X4)+('INSUMOS DE PREPARACION'!$I$15*'INGRESO POR VENTAS'!X9)+('INSUMOS DE PREPARACION'!$D$27*'INGRESO POR VENTAS'!X5)+('INSUMOS DE PREPARACION'!$D$39*'INGRESO POR VENTAS'!X6)+('INSUMOS DE PREPARACION'!$D$47*'INGRESO POR VENTAS'!X7)+('INSUMOS DE PREPARACION'!$D$60*'INGRESO POR VENTAS'!X8)+('INSUMOS DE PREPARACION'!$D$72*'INGRESO POR VENTAS'!X10)+('INSUMOS DE PREPARACION'!$D$84*'INGRESO POR VENTAS'!X11)</f>
        <v>2954</v>
      </c>
      <c r="Y13" s="117">
        <f>('INSUMOS DE PREPARACION'!$D$15*'INGRESO POR VENTAS'!Y4)+('INSUMOS DE PREPARACION'!$I$15*'INGRESO POR VENTAS'!Y9)+('INSUMOS DE PREPARACION'!$D$27*'INGRESO POR VENTAS'!Y5)+('INSUMOS DE PREPARACION'!$D$39*'INGRESO POR VENTAS'!Y6)+('INSUMOS DE PREPARACION'!$D$47*'INGRESO POR VENTAS'!Y7)+('INSUMOS DE PREPARACION'!$D$60*'INGRESO POR VENTAS'!Y8)+('INSUMOS DE PREPARACION'!$D$72*'INGRESO POR VENTAS'!Y10)+('INSUMOS DE PREPARACION'!$D$84*'INGRESO POR VENTAS'!Y11)</f>
        <v>2954</v>
      </c>
    </row>
    <row r="14" spans="1:25" x14ac:dyDescent="0.25">
      <c r="A14" s="35" t="str">
        <f>'INSUMOS DE PREPARACION'!G8</f>
        <v>POLLO</v>
      </c>
      <c r="B14" s="117">
        <f>('INSUMOS DE PREPARACION'!$I$8*'INGRESO POR VENTAS'!B9)+('INSUMOS DE PREPARACION'!$D$89*'INGRESO POR VENTAS'!B12)</f>
        <v>2660</v>
      </c>
      <c r="C14" s="117">
        <f>('INSUMOS DE PREPARACION'!$I$8*'INGRESO POR VENTAS'!C9)+('INSUMOS DE PREPARACION'!$D$89*'INGRESO POR VENTAS'!C12)</f>
        <v>2660</v>
      </c>
      <c r="D14" s="117">
        <f>('INSUMOS DE PREPARACION'!$I$8*'INGRESO POR VENTAS'!D9)+('INSUMOS DE PREPARACION'!$D$89*'INGRESO POR VENTAS'!D12)</f>
        <v>2660</v>
      </c>
      <c r="E14" s="117">
        <f>('INSUMOS DE PREPARACION'!$I$8*'INGRESO POR VENTAS'!E9)+('INSUMOS DE PREPARACION'!$D$89*'INGRESO POR VENTAS'!E12)</f>
        <v>1330</v>
      </c>
      <c r="F14" s="117">
        <f>('INSUMOS DE PREPARACION'!$I$8*'INGRESO POR VENTAS'!F9)+('INSUMOS DE PREPARACION'!$D$89*'INGRESO POR VENTAS'!F12)</f>
        <v>2660</v>
      </c>
      <c r="G14" s="117">
        <f>('INSUMOS DE PREPARACION'!$I$8*'INGRESO POR VENTAS'!G9)+('INSUMOS DE PREPARACION'!$D$89*'INGRESO POR VENTAS'!G12)</f>
        <v>1330</v>
      </c>
      <c r="H14" s="117">
        <f>('INSUMOS DE PREPARACION'!$I$8*'INGRESO POR VENTAS'!H9)+('INSUMOS DE PREPARACION'!$D$89*'INGRESO POR VENTAS'!H12)</f>
        <v>2660</v>
      </c>
      <c r="I14" s="117">
        <f>('INSUMOS DE PREPARACION'!$I$8*'INGRESO POR VENTAS'!I9)+('INSUMOS DE PREPARACION'!$D$89*'INGRESO POR VENTAS'!I12)</f>
        <v>2660</v>
      </c>
      <c r="J14" s="117">
        <f>('INSUMOS DE PREPARACION'!$I$8*'INGRESO POR VENTAS'!J9)+('INSUMOS DE PREPARACION'!$D$89*'INGRESO POR VENTAS'!J12)</f>
        <v>2660</v>
      </c>
      <c r="K14" s="117">
        <f>('INSUMOS DE PREPARACION'!$I$8*'INGRESO POR VENTAS'!K9)+('INSUMOS DE PREPARACION'!$D$89*'INGRESO POR VENTAS'!K12)</f>
        <v>2660</v>
      </c>
      <c r="L14" s="117">
        <f>('INSUMOS DE PREPARACION'!$I$8*'INGRESO POR VENTAS'!L9)+('INSUMOS DE PREPARACION'!$D$89*'INGRESO POR VENTAS'!L12)</f>
        <v>2660</v>
      </c>
      <c r="M14" s="117">
        <f>('INSUMOS DE PREPARACION'!$I$8*'INGRESO POR VENTAS'!M9)+('INSUMOS DE PREPARACION'!$D$89*'INGRESO POR VENTAS'!M12)</f>
        <v>2660</v>
      </c>
      <c r="N14" s="117">
        <f>('INSUMOS DE PREPARACION'!$I$8*'INGRESO POR VENTAS'!N9)+('INSUMOS DE PREPARACION'!$D$89*'INGRESO POR VENTAS'!N12)</f>
        <v>2660</v>
      </c>
      <c r="O14" s="117">
        <f>('INSUMOS DE PREPARACION'!$I$8*'INGRESO POR VENTAS'!O9)+('INSUMOS DE PREPARACION'!$D$89*'INGRESO POR VENTAS'!O12)</f>
        <v>2660</v>
      </c>
      <c r="P14" s="117">
        <f>('INSUMOS DE PREPARACION'!$I$8*'INGRESO POR VENTAS'!P9)+('INSUMOS DE PREPARACION'!$D$89*'INGRESO POR VENTAS'!P12)</f>
        <v>2660</v>
      </c>
      <c r="Q14" s="117">
        <f>('INSUMOS DE PREPARACION'!$I$8*'INGRESO POR VENTAS'!Q9)+('INSUMOS DE PREPARACION'!$D$89*'INGRESO POR VENTAS'!Q12)</f>
        <v>2660</v>
      </c>
      <c r="R14" s="117">
        <f>('INSUMOS DE PREPARACION'!$I$8*'INGRESO POR VENTAS'!R9)+('INSUMOS DE PREPARACION'!$D$89*'INGRESO POR VENTAS'!R12)</f>
        <v>2660</v>
      </c>
      <c r="S14" s="117">
        <f>('INSUMOS DE PREPARACION'!$I$8*'INGRESO POR VENTAS'!S9)+('INSUMOS DE PREPARACION'!$D$89*'INGRESO POR VENTAS'!S12)</f>
        <v>2660</v>
      </c>
      <c r="T14" s="117">
        <f>('INSUMOS DE PREPARACION'!$I$8*'INGRESO POR VENTAS'!T9)+('INSUMOS DE PREPARACION'!$D$89*'INGRESO POR VENTAS'!T12)</f>
        <v>2660</v>
      </c>
      <c r="U14" s="117">
        <f>('INSUMOS DE PREPARACION'!$I$8*'INGRESO POR VENTAS'!U9)+('INSUMOS DE PREPARACION'!$D$89*'INGRESO POR VENTAS'!U12)</f>
        <v>2660</v>
      </c>
      <c r="V14" s="117">
        <f>('INSUMOS DE PREPARACION'!$I$8*'INGRESO POR VENTAS'!V9)+('INSUMOS DE PREPARACION'!$D$89*'INGRESO POR VENTAS'!V12)</f>
        <v>2660</v>
      </c>
      <c r="W14" s="117">
        <f>('INSUMOS DE PREPARACION'!$I$8*'INGRESO POR VENTAS'!W9)+('INSUMOS DE PREPARACION'!$D$89*'INGRESO POR VENTAS'!W12)</f>
        <v>2660</v>
      </c>
      <c r="X14" s="117">
        <f>('INSUMOS DE PREPARACION'!$I$8*'INGRESO POR VENTAS'!X9)+('INSUMOS DE PREPARACION'!$D$89*'INGRESO POR VENTAS'!X12)</f>
        <v>2660</v>
      </c>
      <c r="Y14" s="117">
        <f>('INSUMOS DE PREPARACION'!$I$8*'INGRESO POR VENTAS'!Y9)+('INSUMOS DE PREPARACION'!$D$89*'INGRESO POR VENTAS'!Y12)</f>
        <v>2660</v>
      </c>
    </row>
    <row r="15" spans="1:25" x14ac:dyDescent="0.25">
      <c r="A15" s="35" t="str">
        <f>'INSUMOS DE PREPARACION'!B20</f>
        <v>Cordero</v>
      </c>
      <c r="B15" s="117">
        <f>('INSUMOS DE PREPARACION'!$D$20*'INGRESO POR VENTAS'!B5)</f>
        <v>2688</v>
      </c>
      <c r="C15" s="117">
        <f>('INSUMOS DE PREPARACION'!$D$20*'INGRESO POR VENTAS'!C5)</f>
        <v>2688</v>
      </c>
      <c r="D15" s="117">
        <f>('INSUMOS DE PREPARACION'!$D$20*'INGRESO POR VENTAS'!D5)</f>
        <v>2688</v>
      </c>
      <c r="E15" s="117">
        <f>('INSUMOS DE PREPARACION'!$D$20*'INGRESO POR VENTAS'!E5)</f>
        <v>1344</v>
      </c>
      <c r="F15" s="117">
        <f>('INSUMOS DE PREPARACION'!$D$20*'INGRESO POR VENTAS'!F5)</f>
        <v>2688</v>
      </c>
      <c r="G15" s="117">
        <f>('INSUMOS DE PREPARACION'!$D$20*'INGRESO POR VENTAS'!G5)</f>
        <v>1344</v>
      </c>
      <c r="H15" s="117">
        <f>('INSUMOS DE PREPARACION'!$D$20*'INGRESO POR VENTAS'!H5)</f>
        <v>2688</v>
      </c>
      <c r="I15" s="117">
        <f>('INSUMOS DE PREPARACION'!$D$20*'INGRESO POR VENTAS'!I5)</f>
        <v>2688</v>
      </c>
      <c r="J15" s="117">
        <f>('INSUMOS DE PREPARACION'!$D$20*'INGRESO POR VENTAS'!J5)</f>
        <v>2688</v>
      </c>
      <c r="K15" s="117">
        <f>('INSUMOS DE PREPARACION'!$D$20*'INGRESO POR VENTAS'!K5)</f>
        <v>2688</v>
      </c>
      <c r="L15" s="117">
        <f>('INSUMOS DE PREPARACION'!$D$20*'INGRESO POR VENTAS'!L5)</f>
        <v>2688</v>
      </c>
      <c r="M15" s="117">
        <f>('INSUMOS DE PREPARACION'!$D$20*'INGRESO POR VENTAS'!M5)</f>
        <v>2688</v>
      </c>
      <c r="N15" s="117">
        <f>('INSUMOS DE PREPARACION'!$D$20*'INGRESO POR VENTAS'!N5)</f>
        <v>2688</v>
      </c>
      <c r="O15" s="117">
        <f>('INSUMOS DE PREPARACION'!$D$20*'INGRESO POR VENTAS'!O5)</f>
        <v>2688</v>
      </c>
      <c r="P15" s="117">
        <f>('INSUMOS DE PREPARACION'!$D$20*'INGRESO POR VENTAS'!P5)</f>
        <v>2688</v>
      </c>
      <c r="Q15" s="117">
        <f>('INSUMOS DE PREPARACION'!$D$20*'INGRESO POR VENTAS'!Q5)</f>
        <v>2688</v>
      </c>
      <c r="R15" s="117">
        <f>('INSUMOS DE PREPARACION'!$D$20*'INGRESO POR VENTAS'!R5)</f>
        <v>2688</v>
      </c>
      <c r="S15" s="117">
        <f>('INSUMOS DE PREPARACION'!$D$20*'INGRESO POR VENTAS'!S5)</f>
        <v>2688</v>
      </c>
      <c r="T15" s="117">
        <f>('INSUMOS DE PREPARACION'!$D$20*'INGRESO POR VENTAS'!T5)</f>
        <v>2688</v>
      </c>
      <c r="U15" s="117">
        <f>('INSUMOS DE PREPARACION'!$D$20*'INGRESO POR VENTAS'!U5)</f>
        <v>2688</v>
      </c>
      <c r="V15" s="117">
        <f>('INSUMOS DE PREPARACION'!$D$20*'INGRESO POR VENTAS'!V5)</f>
        <v>2688</v>
      </c>
      <c r="W15" s="117">
        <f>('INSUMOS DE PREPARACION'!$D$20*'INGRESO POR VENTAS'!W5)</f>
        <v>2688</v>
      </c>
      <c r="X15" s="117">
        <f>('INSUMOS DE PREPARACION'!$D$20*'INGRESO POR VENTAS'!X5)</f>
        <v>2688</v>
      </c>
      <c r="Y15" s="117">
        <f>('INSUMOS DE PREPARACION'!$D$20*'INGRESO POR VENTAS'!Y5)</f>
        <v>2688</v>
      </c>
    </row>
    <row r="16" spans="1:25" x14ac:dyDescent="0.25">
      <c r="A16" s="35" t="str">
        <f>'INSUMOS DE PREPARACION'!B32</f>
        <v>RES</v>
      </c>
      <c r="B16" s="117">
        <f>('INSUMOS DE PREPARACION'!$D$32*'INGRESO POR VENTAS'!B6)</f>
        <v>1456</v>
      </c>
      <c r="C16" s="117">
        <f>('INSUMOS DE PREPARACION'!$D$32*'INGRESO POR VENTAS'!C6)</f>
        <v>1456</v>
      </c>
      <c r="D16" s="117">
        <f>('INSUMOS DE PREPARACION'!$D$32*'INGRESO POR VENTAS'!D6)</f>
        <v>1456</v>
      </c>
      <c r="E16" s="117">
        <f>('INSUMOS DE PREPARACION'!$D$32*'INGRESO POR VENTAS'!E6)</f>
        <v>728</v>
      </c>
      <c r="F16" s="117">
        <f>('INSUMOS DE PREPARACION'!$D$32*'INGRESO POR VENTAS'!F6)</f>
        <v>1456</v>
      </c>
      <c r="G16" s="117">
        <f>('INSUMOS DE PREPARACION'!$D$32*'INGRESO POR VENTAS'!G6)</f>
        <v>728</v>
      </c>
      <c r="H16" s="117">
        <f>('INSUMOS DE PREPARACION'!$D$32*'INGRESO POR VENTAS'!H6)</f>
        <v>1456</v>
      </c>
      <c r="I16" s="117">
        <f>('INSUMOS DE PREPARACION'!$D$32*'INGRESO POR VENTAS'!I6)</f>
        <v>1456</v>
      </c>
      <c r="J16" s="117">
        <f>('INSUMOS DE PREPARACION'!$D$32*'INGRESO POR VENTAS'!J6)</f>
        <v>1456</v>
      </c>
      <c r="K16" s="117">
        <f>('INSUMOS DE PREPARACION'!$D$32*'INGRESO POR VENTAS'!K6)</f>
        <v>1456</v>
      </c>
      <c r="L16" s="117">
        <f>('INSUMOS DE PREPARACION'!$D$32*'INGRESO POR VENTAS'!L6)</f>
        <v>1456</v>
      </c>
      <c r="M16" s="117">
        <f>('INSUMOS DE PREPARACION'!$D$32*'INGRESO POR VENTAS'!M6)</f>
        <v>1456</v>
      </c>
      <c r="N16" s="117">
        <f>('INSUMOS DE PREPARACION'!$D$32*'INGRESO POR VENTAS'!N6)</f>
        <v>1456</v>
      </c>
      <c r="O16" s="117">
        <f>('INSUMOS DE PREPARACION'!$D$32*'INGRESO POR VENTAS'!O6)</f>
        <v>1456</v>
      </c>
      <c r="P16" s="117">
        <f>('INSUMOS DE PREPARACION'!$D$32*'INGRESO POR VENTAS'!P6)</f>
        <v>1456</v>
      </c>
      <c r="Q16" s="117">
        <f>('INSUMOS DE PREPARACION'!$D$32*'INGRESO POR VENTAS'!Q6)</f>
        <v>1456</v>
      </c>
      <c r="R16" s="117">
        <f>('INSUMOS DE PREPARACION'!$D$32*'INGRESO POR VENTAS'!R6)</f>
        <v>1456</v>
      </c>
      <c r="S16" s="117">
        <f>('INSUMOS DE PREPARACION'!$D$32*'INGRESO POR VENTAS'!S6)</f>
        <v>1456</v>
      </c>
      <c r="T16" s="117">
        <f>('INSUMOS DE PREPARACION'!$D$32*'INGRESO POR VENTAS'!T6)</f>
        <v>1456</v>
      </c>
      <c r="U16" s="117">
        <f>('INSUMOS DE PREPARACION'!$D$32*'INGRESO POR VENTAS'!U6)</f>
        <v>1456</v>
      </c>
      <c r="V16" s="117">
        <f>('INSUMOS DE PREPARACION'!$D$32*'INGRESO POR VENTAS'!V6)</f>
        <v>1456</v>
      </c>
      <c r="W16" s="117">
        <f>('INSUMOS DE PREPARACION'!$D$32*'INGRESO POR VENTAS'!W6)</f>
        <v>1456</v>
      </c>
      <c r="X16" s="117">
        <f>('INSUMOS DE PREPARACION'!$D$32*'INGRESO POR VENTAS'!X6)</f>
        <v>1456</v>
      </c>
      <c r="Y16" s="117">
        <f>('INSUMOS DE PREPARACION'!$D$32*'INGRESO POR VENTAS'!Y6)</f>
        <v>1456</v>
      </c>
    </row>
    <row r="17" spans="1:25" x14ac:dyDescent="0.25">
      <c r="A17" s="35" t="str">
        <f>'INSUMOS DE PREPARACION'!B53</f>
        <v>lomo fino</v>
      </c>
      <c r="B17" s="117">
        <f>('INSUMOS DE PREPARACION'!$D$53*'INGRESO POR VENTAS'!B8)</f>
        <v>2520</v>
      </c>
      <c r="C17" s="117">
        <f>('INSUMOS DE PREPARACION'!$D$53*'INGRESO POR VENTAS'!C8)</f>
        <v>2520</v>
      </c>
      <c r="D17" s="117">
        <f>('INSUMOS DE PREPARACION'!$D$53*'INGRESO POR VENTAS'!D8)</f>
        <v>2520</v>
      </c>
      <c r="E17" s="117">
        <f>('INSUMOS DE PREPARACION'!$D$53*'INGRESO POR VENTAS'!E8)</f>
        <v>1260</v>
      </c>
      <c r="F17" s="117">
        <f>('INSUMOS DE PREPARACION'!$D$53*'INGRESO POR VENTAS'!F8)</f>
        <v>2520</v>
      </c>
      <c r="G17" s="117">
        <f>('INSUMOS DE PREPARACION'!$D$53*'INGRESO POR VENTAS'!G8)</f>
        <v>1260</v>
      </c>
      <c r="H17" s="117">
        <f>('INSUMOS DE PREPARACION'!$D$53*'INGRESO POR VENTAS'!H8)</f>
        <v>2520</v>
      </c>
      <c r="I17" s="117">
        <f>('INSUMOS DE PREPARACION'!$D$53*'INGRESO POR VENTAS'!I8)</f>
        <v>2520</v>
      </c>
      <c r="J17" s="117">
        <f>('INSUMOS DE PREPARACION'!$D$53*'INGRESO POR VENTAS'!J8)</f>
        <v>2520</v>
      </c>
      <c r="K17" s="117">
        <f>('INSUMOS DE PREPARACION'!$D$53*'INGRESO POR VENTAS'!K8)</f>
        <v>2520</v>
      </c>
      <c r="L17" s="117">
        <f>('INSUMOS DE PREPARACION'!$D$53*'INGRESO POR VENTAS'!L8)</f>
        <v>2520</v>
      </c>
      <c r="M17" s="117">
        <f>('INSUMOS DE PREPARACION'!$D$53*'INGRESO POR VENTAS'!M8)</f>
        <v>2520</v>
      </c>
      <c r="N17" s="117">
        <f>('INSUMOS DE PREPARACION'!$D$53*'INGRESO POR VENTAS'!N8)</f>
        <v>2520</v>
      </c>
      <c r="O17" s="117">
        <f>('INSUMOS DE PREPARACION'!$D$53*'INGRESO POR VENTAS'!O8)</f>
        <v>2520</v>
      </c>
      <c r="P17" s="117">
        <f>('INSUMOS DE PREPARACION'!$D$53*'INGRESO POR VENTAS'!P8)</f>
        <v>2520</v>
      </c>
      <c r="Q17" s="117">
        <f>('INSUMOS DE PREPARACION'!$D$53*'INGRESO POR VENTAS'!Q8)</f>
        <v>2520</v>
      </c>
      <c r="R17" s="117">
        <f>('INSUMOS DE PREPARACION'!$D$53*'INGRESO POR VENTAS'!R8)</f>
        <v>2520</v>
      </c>
      <c r="S17" s="117">
        <f>('INSUMOS DE PREPARACION'!$D$53*'INGRESO POR VENTAS'!S8)</f>
        <v>2520</v>
      </c>
      <c r="T17" s="117">
        <f>('INSUMOS DE PREPARACION'!$D$53*'INGRESO POR VENTAS'!T8)</f>
        <v>2520</v>
      </c>
      <c r="U17" s="117">
        <f>('INSUMOS DE PREPARACION'!$D$53*'INGRESO POR VENTAS'!U8)</f>
        <v>2520</v>
      </c>
      <c r="V17" s="117">
        <f>('INSUMOS DE PREPARACION'!$D$53*'INGRESO POR VENTAS'!V8)</f>
        <v>2520</v>
      </c>
      <c r="W17" s="117">
        <f>('INSUMOS DE PREPARACION'!$D$53*'INGRESO POR VENTAS'!W8)</f>
        <v>2520</v>
      </c>
      <c r="X17" s="117">
        <f>('INSUMOS DE PREPARACION'!$D$53*'INGRESO POR VENTAS'!X8)</f>
        <v>2520</v>
      </c>
      <c r="Y17" s="117">
        <f>('INSUMOS DE PREPARACION'!$D$53*'INGRESO POR VENTAS'!Y8)</f>
        <v>2520</v>
      </c>
    </row>
    <row r="18" spans="1:25" x14ac:dyDescent="0.25">
      <c r="A18" s="35" t="str">
        <f>'INSUMOS DE PREPARACION'!B65</f>
        <v>costilla de cordero</v>
      </c>
      <c r="B18" s="117">
        <f>('INSUMOS DE PREPARACION'!$D$65*'INGRESO POR VENTAS'!B10)</f>
        <v>3584</v>
      </c>
      <c r="C18" s="117">
        <f>('INSUMOS DE PREPARACION'!$D$65*'INGRESO POR VENTAS'!C10)</f>
        <v>3584</v>
      </c>
      <c r="D18" s="117">
        <f>('INSUMOS DE PREPARACION'!$D$65*'INGRESO POR VENTAS'!D10)</f>
        <v>3584</v>
      </c>
      <c r="E18" s="117">
        <f>('INSUMOS DE PREPARACION'!$D$65*'INGRESO POR VENTAS'!E10)</f>
        <v>1792</v>
      </c>
      <c r="F18" s="117">
        <f>('INSUMOS DE PREPARACION'!$D$65*'INGRESO POR VENTAS'!F10)</f>
        <v>3584</v>
      </c>
      <c r="G18" s="117">
        <f>('INSUMOS DE PREPARACION'!$D$65*'INGRESO POR VENTAS'!G10)</f>
        <v>1792</v>
      </c>
      <c r="H18" s="117">
        <f>('INSUMOS DE PREPARACION'!$D$65*'INGRESO POR VENTAS'!H10)</f>
        <v>3584</v>
      </c>
      <c r="I18" s="117">
        <f>('INSUMOS DE PREPARACION'!$D$65*'INGRESO POR VENTAS'!I10)</f>
        <v>3584</v>
      </c>
      <c r="J18" s="117">
        <f>('INSUMOS DE PREPARACION'!$D$65*'INGRESO POR VENTAS'!J10)</f>
        <v>3584</v>
      </c>
      <c r="K18" s="117">
        <f>('INSUMOS DE PREPARACION'!$D$65*'INGRESO POR VENTAS'!K10)</f>
        <v>3584</v>
      </c>
      <c r="L18" s="117">
        <f>('INSUMOS DE PREPARACION'!$D$65*'INGRESO POR VENTAS'!L10)</f>
        <v>3584</v>
      </c>
      <c r="M18" s="117">
        <f>('INSUMOS DE PREPARACION'!$D$65*'INGRESO POR VENTAS'!M10)</f>
        <v>3584</v>
      </c>
      <c r="N18" s="117">
        <f>('INSUMOS DE PREPARACION'!$D$65*'INGRESO POR VENTAS'!N10)</f>
        <v>3584</v>
      </c>
      <c r="O18" s="117">
        <f>('INSUMOS DE PREPARACION'!$D$65*'INGRESO POR VENTAS'!O10)</f>
        <v>3584</v>
      </c>
      <c r="P18" s="117">
        <f>('INSUMOS DE PREPARACION'!$D$65*'INGRESO POR VENTAS'!P10)</f>
        <v>3584</v>
      </c>
      <c r="Q18" s="117">
        <f>('INSUMOS DE PREPARACION'!$D$65*'INGRESO POR VENTAS'!Q10)</f>
        <v>3584</v>
      </c>
      <c r="R18" s="117">
        <f>('INSUMOS DE PREPARACION'!$D$65*'INGRESO POR VENTAS'!R10)</f>
        <v>3584</v>
      </c>
      <c r="S18" s="117">
        <f>('INSUMOS DE PREPARACION'!$D$65*'INGRESO POR VENTAS'!S10)</f>
        <v>3584</v>
      </c>
      <c r="T18" s="117">
        <f>('INSUMOS DE PREPARACION'!$D$65*'INGRESO POR VENTAS'!T10)</f>
        <v>3584</v>
      </c>
      <c r="U18" s="117">
        <f>('INSUMOS DE PREPARACION'!$D$65*'INGRESO POR VENTAS'!U10)</f>
        <v>3584</v>
      </c>
      <c r="V18" s="117">
        <f>('INSUMOS DE PREPARACION'!$D$65*'INGRESO POR VENTAS'!V10)</f>
        <v>3584</v>
      </c>
      <c r="W18" s="117">
        <f>('INSUMOS DE PREPARACION'!$D$65*'INGRESO POR VENTAS'!W10)</f>
        <v>3584</v>
      </c>
      <c r="X18" s="117">
        <f>('INSUMOS DE PREPARACION'!$D$65*'INGRESO POR VENTAS'!X10)</f>
        <v>3584</v>
      </c>
      <c r="Y18" s="117">
        <f>('INSUMOS DE PREPARACION'!$D$65*'INGRESO POR VENTAS'!Y10)</f>
        <v>3584</v>
      </c>
    </row>
    <row r="19" spans="1:25" x14ac:dyDescent="0.25">
      <c r="A19" s="35" t="str">
        <f>'INSUMOS DE PREPARACION'!B77</f>
        <v>costilla de chancho</v>
      </c>
      <c r="B19" s="117">
        <f>('INSUMOS DE PREPARACION'!$D$77*'INGRESO POR VENTAS'!B11)</f>
        <v>1344</v>
      </c>
      <c r="C19" s="117">
        <f>('INSUMOS DE PREPARACION'!$D$77*'INGRESO POR VENTAS'!C11)</f>
        <v>1344</v>
      </c>
      <c r="D19" s="117">
        <f>('INSUMOS DE PREPARACION'!$D$77*'INGRESO POR VENTAS'!D11)</f>
        <v>1344</v>
      </c>
      <c r="E19" s="117">
        <f>('INSUMOS DE PREPARACION'!$D$77*'INGRESO POR VENTAS'!E11)</f>
        <v>672</v>
      </c>
      <c r="F19" s="117">
        <f>('INSUMOS DE PREPARACION'!$D$77*'INGRESO POR VENTAS'!F11)</f>
        <v>1344</v>
      </c>
      <c r="G19" s="117">
        <f>('INSUMOS DE PREPARACION'!$D$77*'INGRESO POR VENTAS'!G11)</f>
        <v>672</v>
      </c>
      <c r="H19" s="117">
        <f>('INSUMOS DE PREPARACION'!$D$77*'INGRESO POR VENTAS'!H11)</f>
        <v>1344</v>
      </c>
      <c r="I19" s="117">
        <f>('INSUMOS DE PREPARACION'!$D$77*'INGRESO POR VENTAS'!I11)</f>
        <v>1344</v>
      </c>
      <c r="J19" s="117">
        <f>('INSUMOS DE PREPARACION'!$D$77*'INGRESO POR VENTAS'!J11)</f>
        <v>1344</v>
      </c>
      <c r="K19" s="117">
        <f>('INSUMOS DE PREPARACION'!$D$77*'INGRESO POR VENTAS'!K11)</f>
        <v>1344</v>
      </c>
      <c r="L19" s="117">
        <f>('INSUMOS DE PREPARACION'!$D$77*'INGRESO POR VENTAS'!L11)</f>
        <v>1344</v>
      </c>
      <c r="M19" s="117">
        <f>('INSUMOS DE PREPARACION'!$D$77*'INGRESO POR VENTAS'!M11)</f>
        <v>1344</v>
      </c>
      <c r="N19" s="117">
        <f>('INSUMOS DE PREPARACION'!$D$77*'INGRESO POR VENTAS'!N11)</f>
        <v>1344</v>
      </c>
      <c r="O19" s="117">
        <f>('INSUMOS DE PREPARACION'!$D$77*'INGRESO POR VENTAS'!O11)</f>
        <v>1344</v>
      </c>
      <c r="P19" s="117">
        <f>('INSUMOS DE PREPARACION'!$D$77*'INGRESO POR VENTAS'!P11)</f>
        <v>1344</v>
      </c>
      <c r="Q19" s="117">
        <f>('INSUMOS DE PREPARACION'!$D$77*'INGRESO POR VENTAS'!Q11)</f>
        <v>1344</v>
      </c>
      <c r="R19" s="117">
        <f>('INSUMOS DE PREPARACION'!$D$77*'INGRESO POR VENTAS'!R11)</f>
        <v>1344</v>
      </c>
      <c r="S19" s="117">
        <f>('INSUMOS DE PREPARACION'!$D$77*'INGRESO POR VENTAS'!S11)</f>
        <v>1344</v>
      </c>
      <c r="T19" s="117">
        <f>('INSUMOS DE PREPARACION'!$D$77*'INGRESO POR VENTAS'!T11)</f>
        <v>1344</v>
      </c>
      <c r="U19" s="117">
        <f>('INSUMOS DE PREPARACION'!$D$77*'INGRESO POR VENTAS'!U11)</f>
        <v>1344</v>
      </c>
      <c r="V19" s="117">
        <f>('INSUMOS DE PREPARACION'!$D$77*'INGRESO POR VENTAS'!V11)</f>
        <v>1344</v>
      </c>
      <c r="W19" s="117">
        <f>('INSUMOS DE PREPARACION'!$D$77*'INGRESO POR VENTAS'!W11)</f>
        <v>1344</v>
      </c>
      <c r="X19" s="117">
        <f>('INSUMOS DE PREPARACION'!$D$77*'INGRESO POR VENTAS'!X11)</f>
        <v>1344</v>
      </c>
      <c r="Y19" s="117">
        <f>('INSUMOS DE PREPARACION'!$D$77*'INGRESO POR VENTAS'!Y11)</f>
        <v>1344</v>
      </c>
    </row>
    <row r="20" spans="1:25" x14ac:dyDescent="0.25">
      <c r="A20" s="35" t="str">
        <f>'INSUMOS DE PREPARACION'!B97</f>
        <v>salchichas</v>
      </c>
      <c r="B20" s="117">
        <f>'INSUMOS DE PREPARACION'!$D$97*'INGRESO POR VENTAS'!B13</f>
        <v>1050</v>
      </c>
      <c r="C20" s="117">
        <f>'INSUMOS DE PREPARACION'!$D$97*'INGRESO POR VENTAS'!C13</f>
        <v>1050</v>
      </c>
      <c r="D20" s="117">
        <f>'INSUMOS DE PREPARACION'!$D$97*'INGRESO POR VENTAS'!D13</f>
        <v>1050</v>
      </c>
      <c r="E20" s="117">
        <f>'INSUMOS DE PREPARACION'!$D$97*'INGRESO POR VENTAS'!E13</f>
        <v>525</v>
      </c>
      <c r="F20" s="117">
        <f>'INSUMOS DE PREPARACION'!$D$97*'INGRESO POR VENTAS'!F13</f>
        <v>1050</v>
      </c>
      <c r="G20" s="117">
        <f>'INSUMOS DE PREPARACION'!$D$97*'INGRESO POR VENTAS'!G13</f>
        <v>525</v>
      </c>
      <c r="H20" s="117">
        <f>'INSUMOS DE PREPARACION'!$D$97*'INGRESO POR VENTAS'!H13</f>
        <v>1050</v>
      </c>
      <c r="I20" s="117">
        <f>'INSUMOS DE PREPARACION'!$D$97*'INGRESO POR VENTAS'!I13</f>
        <v>1050</v>
      </c>
      <c r="J20" s="117">
        <f>'INSUMOS DE PREPARACION'!$D$97*'INGRESO POR VENTAS'!J13</f>
        <v>1050</v>
      </c>
      <c r="K20" s="117">
        <f>'INSUMOS DE PREPARACION'!$D$97*'INGRESO POR VENTAS'!K13</f>
        <v>1050</v>
      </c>
      <c r="L20" s="117">
        <f>'INSUMOS DE PREPARACION'!$D$97*'INGRESO POR VENTAS'!L13</f>
        <v>1050</v>
      </c>
      <c r="M20" s="117">
        <f>'INSUMOS DE PREPARACION'!$D$97*'INGRESO POR VENTAS'!M13</f>
        <v>1050</v>
      </c>
      <c r="N20" s="117">
        <f>'INSUMOS DE PREPARACION'!$D$97*'INGRESO POR VENTAS'!N13</f>
        <v>1050</v>
      </c>
      <c r="O20" s="117">
        <f>'INSUMOS DE PREPARACION'!$D$97*'INGRESO POR VENTAS'!O13</f>
        <v>1050</v>
      </c>
      <c r="P20" s="117">
        <f>'INSUMOS DE PREPARACION'!$D$97*'INGRESO POR VENTAS'!P13</f>
        <v>1050</v>
      </c>
      <c r="Q20" s="117">
        <f>'INSUMOS DE PREPARACION'!$D$97*'INGRESO POR VENTAS'!Q13</f>
        <v>1050</v>
      </c>
      <c r="R20" s="117">
        <f>'INSUMOS DE PREPARACION'!$D$97*'INGRESO POR VENTAS'!R13</f>
        <v>1050</v>
      </c>
      <c r="S20" s="117">
        <f>'INSUMOS DE PREPARACION'!$D$97*'INGRESO POR VENTAS'!S13</f>
        <v>1050</v>
      </c>
      <c r="T20" s="117">
        <f>'INSUMOS DE PREPARACION'!$D$97*'INGRESO POR VENTAS'!T13</f>
        <v>1050</v>
      </c>
      <c r="U20" s="117">
        <f>'INSUMOS DE PREPARACION'!$D$97*'INGRESO POR VENTAS'!U13</f>
        <v>1050</v>
      </c>
      <c r="V20" s="117">
        <f>'INSUMOS DE PREPARACION'!$D$97*'INGRESO POR VENTAS'!V13</f>
        <v>1050</v>
      </c>
      <c r="W20" s="117">
        <f>'INSUMOS DE PREPARACION'!$D$97*'INGRESO POR VENTAS'!W13</f>
        <v>1050</v>
      </c>
      <c r="X20" s="117">
        <f>'INSUMOS DE PREPARACION'!$D$97*'INGRESO POR VENTAS'!X13</f>
        <v>1050</v>
      </c>
      <c r="Y20" s="117">
        <f>'INSUMOS DE PREPARACION'!$D$97*'INGRESO POR VENTAS'!Y13</f>
        <v>1050</v>
      </c>
    </row>
    <row r="21" spans="1:25" x14ac:dyDescent="0.25">
      <c r="A21" s="35" t="str">
        <f>'INSUMOS DE PREPARACION'!B102</f>
        <v>mollejitas</v>
      </c>
      <c r="B21" s="117">
        <f>'INSUMOS DE PREPARACION'!$D$102*'INGRESO POR VENTAS'!B14</f>
        <v>1288</v>
      </c>
      <c r="C21" s="117">
        <f>'INSUMOS DE PREPARACION'!$D$102*'INGRESO POR VENTAS'!C14</f>
        <v>1288</v>
      </c>
      <c r="D21" s="117">
        <f>'INSUMOS DE PREPARACION'!$D$102*'INGRESO POR VENTAS'!D14</f>
        <v>1288</v>
      </c>
      <c r="E21" s="117">
        <f>'INSUMOS DE PREPARACION'!$D$102*'INGRESO POR VENTAS'!E14</f>
        <v>644</v>
      </c>
      <c r="F21" s="117">
        <f>'INSUMOS DE PREPARACION'!$D$102*'INGRESO POR VENTAS'!F14</f>
        <v>1288</v>
      </c>
      <c r="G21" s="117">
        <f>'INSUMOS DE PREPARACION'!$D$102*'INGRESO POR VENTAS'!G14</f>
        <v>644</v>
      </c>
      <c r="H21" s="117">
        <f>'INSUMOS DE PREPARACION'!$D$102*'INGRESO POR VENTAS'!H14</f>
        <v>1288</v>
      </c>
      <c r="I21" s="117">
        <f>'INSUMOS DE PREPARACION'!$D$102*'INGRESO POR VENTAS'!I14</f>
        <v>1288</v>
      </c>
      <c r="J21" s="117">
        <f>'INSUMOS DE PREPARACION'!$D$102*'INGRESO POR VENTAS'!J14</f>
        <v>1288</v>
      </c>
      <c r="K21" s="117">
        <f>'INSUMOS DE PREPARACION'!$D$102*'INGRESO POR VENTAS'!K14</f>
        <v>1288</v>
      </c>
      <c r="L21" s="117">
        <f>'INSUMOS DE PREPARACION'!$D$102*'INGRESO POR VENTAS'!L14</f>
        <v>1288</v>
      </c>
      <c r="M21" s="117">
        <f>'INSUMOS DE PREPARACION'!$D$102*'INGRESO POR VENTAS'!M14</f>
        <v>1288</v>
      </c>
      <c r="N21" s="117">
        <f>'INSUMOS DE PREPARACION'!$D$102*'INGRESO POR VENTAS'!N14</f>
        <v>1288</v>
      </c>
      <c r="O21" s="117">
        <f>'INSUMOS DE PREPARACION'!$D$102*'INGRESO POR VENTAS'!O14</f>
        <v>1288</v>
      </c>
      <c r="P21" s="117">
        <f>'INSUMOS DE PREPARACION'!$D$102*'INGRESO POR VENTAS'!P14</f>
        <v>1288</v>
      </c>
      <c r="Q21" s="117">
        <f>'INSUMOS DE PREPARACION'!$D$102*'INGRESO POR VENTAS'!Q14</f>
        <v>1288</v>
      </c>
      <c r="R21" s="117">
        <f>'INSUMOS DE PREPARACION'!$D$102*'INGRESO POR VENTAS'!R14</f>
        <v>1288</v>
      </c>
      <c r="S21" s="117">
        <f>'INSUMOS DE PREPARACION'!$D$102*'INGRESO POR VENTAS'!S14</f>
        <v>1288</v>
      </c>
      <c r="T21" s="117">
        <f>'INSUMOS DE PREPARACION'!$D$102*'INGRESO POR VENTAS'!T14</f>
        <v>1288</v>
      </c>
      <c r="U21" s="117">
        <f>'INSUMOS DE PREPARACION'!$D$102*'INGRESO POR VENTAS'!U14</f>
        <v>1288</v>
      </c>
      <c r="V21" s="117">
        <f>'INSUMOS DE PREPARACION'!$D$102*'INGRESO POR VENTAS'!V14</f>
        <v>1288</v>
      </c>
      <c r="W21" s="117">
        <f>'INSUMOS DE PREPARACION'!$D$102*'INGRESO POR VENTAS'!W14</f>
        <v>1288</v>
      </c>
      <c r="X21" s="117">
        <f>'INSUMOS DE PREPARACION'!$D$102*'INGRESO POR VENTAS'!X14</f>
        <v>1288</v>
      </c>
      <c r="Y21" s="117">
        <f>'INSUMOS DE PREPARACION'!$D$102*'INGRESO POR VENTAS'!Y14</f>
        <v>1288</v>
      </c>
    </row>
    <row r="22" spans="1:25" x14ac:dyDescent="0.25">
      <c r="A22" s="207" t="s">
        <v>167</v>
      </c>
      <c r="B22" s="117">
        <f>B23+B24</f>
        <v>3052</v>
      </c>
      <c r="C22" s="117">
        <f t="shared" ref="C22:Y22" si="3">C23+C24</f>
        <v>3052</v>
      </c>
      <c r="D22" s="117">
        <f t="shared" si="3"/>
        <v>3052</v>
      </c>
      <c r="E22" s="117">
        <f t="shared" si="3"/>
        <v>3052</v>
      </c>
      <c r="F22" s="117">
        <f t="shared" si="3"/>
        <v>3052</v>
      </c>
      <c r="G22" s="117">
        <f t="shared" si="3"/>
        <v>3052</v>
      </c>
      <c r="H22" s="117">
        <f t="shared" si="3"/>
        <v>6104</v>
      </c>
      <c r="I22" s="117">
        <f t="shared" si="3"/>
        <v>3052</v>
      </c>
      <c r="J22" s="117">
        <f t="shared" si="3"/>
        <v>3052</v>
      </c>
      <c r="K22" s="117">
        <f t="shared" si="3"/>
        <v>3052</v>
      </c>
      <c r="L22" s="117">
        <f t="shared" si="3"/>
        <v>3052</v>
      </c>
      <c r="M22" s="117">
        <f t="shared" si="3"/>
        <v>6104</v>
      </c>
      <c r="N22" s="117">
        <f t="shared" si="3"/>
        <v>3052</v>
      </c>
      <c r="O22" s="117">
        <f t="shared" si="3"/>
        <v>3052</v>
      </c>
      <c r="P22" s="117">
        <f t="shared" si="3"/>
        <v>3052</v>
      </c>
      <c r="Q22" s="117">
        <f t="shared" si="3"/>
        <v>3052</v>
      </c>
      <c r="R22" s="117">
        <f t="shared" si="3"/>
        <v>3052</v>
      </c>
      <c r="S22" s="117">
        <f t="shared" si="3"/>
        <v>3052</v>
      </c>
      <c r="T22" s="117">
        <f t="shared" si="3"/>
        <v>6104</v>
      </c>
      <c r="U22" s="117">
        <f t="shared" si="3"/>
        <v>3052</v>
      </c>
      <c r="V22" s="117">
        <f t="shared" si="3"/>
        <v>3052</v>
      </c>
      <c r="W22" s="117">
        <f t="shared" si="3"/>
        <v>3052</v>
      </c>
      <c r="X22" s="117">
        <f t="shared" si="3"/>
        <v>3052</v>
      </c>
      <c r="Y22" s="117">
        <f t="shared" si="3"/>
        <v>6104</v>
      </c>
    </row>
    <row r="23" spans="1:25" x14ac:dyDescent="0.25">
      <c r="A23" s="35" t="s">
        <v>168</v>
      </c>
      <c r="B23" s="117">
        <f>'PLANILLA DE EMPLEADOS'!K8</f>
        <v>3052</v>
      </c>
      <c r="C23" s="117">
        <f>B23</f>
        <v>3052</v>
      </c>
      <c r="D23" s="117">
        <f t="shared" ref="D23:Y23" si="4">C23</f>
        <v>3052</v>
      </c>
      <c r="E23" s="117">
        <f t="shared" si="4"/>
        <v>3052</v>
      </c>
      <c r="F23" s="117">
        <f t="shared" si="4"/>
        <v>3052</v>
      </c>
      <c r="G23" s="117">
        <f t="shared" si="4"/>
        <v>3052</v>
      </c>
      <c r="H23" s="117">
        <f t="shared" si="4"/>
        <v>3052</v>
      </c>
      <c r="I23" s="117">
        <f t="shared" si="4"/>
        <v>3052</v>
      </c>
      <c r="J23" s="117">
        <f t="shared" si="4"/>
        <v>3052</v>
      </c>
      <c r="K23" s="117">
        <f t="shared" si="4"/>
        <v>3052</v>
      </c>
      <c r="L23" s="117">
        <f t="shared" si="4"/>
        <v>3052</v>
      </c>
      <c r="M23" s="117">
        <f t="shared" si="4"/>
        <v>3052</v>
      </c>
      <c r="N23" s="117">
        <f t="shared" si="4"/>
        <v>3052</v>
      </c>
      <c r="O23" s="117">
        <f t="shared" si="4"/>
        <v>3052</v>
      </c>
      <c r="P23" s="117">
        <f t="shared" si="4"/>
        <v>3052</v>
      </c>
      <c r="Q23" s="117">
        <f t="shared" si="4"/>
        <v>3052</v>
      </c>
      <c r="R23" s="117">
        <f t="shared" si="4"/>
        <v>3052</v>
      </c>
      <c r="S23" s="117">
        <f t="shared" si="4"/>
        <v>3052</v>
      </c>
      <c r="T23" s="117">
        <f t="shared" si="4"/>
        <v>3052</v>
      </c>
      <c r="U23" s="117">
        <f t="shared" si="4"/>
        <v>3052</v>
      </c>
      <c r="V23" s="117">
        <f t="shared" si="4"/>
        <v>3052</v>
      </c>
      <c r="W23" s="117">
        <f t="shared" si="4"/>
        <v>3052</v>
      </c>
      <c r="X23" s="117">
        <f t="shared" si="4"/>
        <v>3052</v>
      </c>
      <c r="Y23" s="117">
        <f t="shared" si="4"/>
        <v>3052</v>
      </c>
    </row>
    <row r="24" spans="1:25" x14ac:dyDescent="0.25">
      <c r="A24" s="34" t="s">
        <v>169</v>
      </c>
      <c r="B24" s="117"/>
      <c r="C24" s="117"/>
      <c r="D24" s="117"/>
      <c r="E24" s="117"/>
      <c r="F24" s="117"/>
      <c r="G24" s="117"/>
      <c r="H24" s="117">
        <f>B23</f>
        <v>3052</v>
      </c>
      <c r="I24" s="117"/>
      <c r="J24" s="117"/>
      <c r="K24" s="117"/>
      <c r="L24" s="117"/>
      <c r="M24" s="117">
        <f>B23</f>
        <v>3052</v>
      </c>
      <c r="N24" s="117"/>
      <c r="O24" s="117"/>
      <c r="P24" s="117"/>
      <c r="Q24" s="117"/>
      <c r="R24" s="117"/>
      <c r="S24" s="117"/>
      <c r="T24" s="117">
        <f>B23</f>
        <v>3052</v>
      </c>
      <c r="U24" s="117"/>
      <c r="V24" s="117"/>
      <c r="W24" s="117"/>
      <c r="X24" s="117"/>
      <c r="Y24" s="117">
        <f>B23</f>
        <v>3052</v>
      </c>
    </row>
    <row r="25" spans="1:25" x14ac:dyDescent="0.25">
      <c r="A25" s="34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</row>
    <row r="26" spans="1:25" x14ac:dyDescent="0.25">
      <c r="A26" s="204" t="s">
        <v>170</v>
      </c>
      <c r="B26" s="117">
        <f>SUM(B27:B31)</f>
        <v>1340</v>
      </c>
      <c r="C26" s="117">
        <f t="shared" ref="C26:Y26" si="5">SUM(C27:C31)</f>
        <v>1340</v>
      </c>
      <c r="D26" s="117">
        <f t="shared" si="5"/>
        <v>1340</v>
      </c>
      <c r="E26" s="117">
        <f t="shared" si="5"/>
        <v>1340</v>
      </c>
      <c r="F26" s="117">
        <f t="shared" si="5"/>
        <v>1340</v>
      </c>
      <c r="G26" s="117">
        <f t="shared" si="5"/>
        <v>1340</v>
      </c>
      <c r="H26" s="117">
        <f t="shared" si="5"/>
        <v>1340</v>
      </c>
      <c r="I26" s="117">
        <f t="shared" si="5"/>
        <v>1340</v>
      </c>
      <c r="J26" s="117">
        <f t="shared" si="5"/>
        <v>1340</v>
      </c>
      <c r="K26" s="117">
        <f t="shared" si="5"/>
        <v>1340</v>
      </c>
      <c r="L26" s="117">
        <f t="shared" si="5"/>
        <v>1340</v>
      </c>
      <c r="M26" s="117">
        <f t="shared" si="5"/>
        <v>1340</v>
      </c>
      <c r="N26" s="117">
        <f t="shared" si="5"/>
        <v>1340</v>
      </c>
      <c r="O26" s="117">
        <f t="shared" si="5"/>
        <v>1340</v>
      </c>
      <c r="P26" s="117">
        <f t="shared" si="5"/>
        <v>1340</v>
      </c>
      <c r="Q26" s="117">
        <f t="shared" si="5"/>
        <v>1340</v>
      </c>
      <c r="R26" s="117">
        <f t="shared" si="5"/>
        <v>1340</v>
      </c>
      <c r="S26" s="117">
        <f t="shared" si="5"/>
        <v>1340</v>
      </c>
      <c r="T26" s="117">
        <f t="shared" si="5"/>
        <v>1340</v>
      </c>
      <c r="U26" s="117">
        <f t="shared" si="5"/>
        <v>1340</v>
      </c>
      <c r="V26" s="117">
        <f t="shared" si="5"/>
        <v>1340</v>
      </c>
      <c r="W26" s="117">
        <f t="shared" si="5"/>
        <v>1340</v>
      </c>
      <c r="X26" s="117">
        <f t="shared" si="5"/>
        <v>1340</v>
      </c>
      <c r="Y26" s="117">
        <f t="shared" si="5"/>
        <v>1340</v>
      </c>
    </row>
    <row r="27" spans="1:25" x14ac:dyDescent="0.25">
      <c r="A27" s="35" t="str">
        <f>'GASTOS INDIRECTOS'!A6</f>
        <v>Alquiler de local</v>
      </c>
      <c r="B27" s="118">
        <f>'GASTOS INDIRECTOS'!E6</f>
        <v>900</v>
      </c>
      <c r="C27" s="117">
        <f>B27</f>
        <v>900</v>
      </c>
      <c r="D27" s="117">
        <f t="shared" ref="D27:Y27" si="6">C27</f>
        <v>900</v>
      </c>
      <c r="E27" s="117">
        <f t="shared" si="6"/>
        <v>900</v>
      </c>
      <c r="F27" s="117">
        <f t="shared" si="6"/>
        <v>900</v>
      </c>
      <c r="G27" s="117">
        <f t="shared" si="6"/>
        <v>900</v>
      </c>
      <c r="H27" s="117">
        <f t="shared" si="6"/>
        <v>900</v>
      </c>
      <c r="I27" s="117">
        <f t="shared" si="6"/>
        <v>900</v>
      </c>
      <c r="J27" s="117">
        <f t="shared" si="6"/>
        <v>900</v>
      </c>
      <c r="K27" s="117">
        <f t="shared" si="6"/>
        <v>900</v>
      </c>
      <c r="L27" s="117">
        <f t="shared" si="6"/>
        <v>900</v>
      </c>
      <c r="M27" s="117">
        <f t="shared" si="6"/>
        <v>900</v>
      </c>
      <c r="N27" s="117">
        <f t="shared" si="6"/>
        <v>900</v>
      </c>
      <c r="O27" s="117">
        <f t="shared" si="6"/>
        <v>900</v>
      </c>
      <c r="P27" s="117">
        <f t="shared" si="6"/>
        <v>900</v>
      </c>
      <c r="Q27" s="117">
        <f t="shared" si="6"/>
        <v>900</v>
      </c>
      <c r="R27" s="117">
        <f t="shared" si="6"/>
        <v>900</v>
      </c>
      <c r="S27" s="117">
        <f t="shared" si="6"/>
        <v>900</v>
      </c>
      <c r="T27" s="117">
        <f t="shared" si="6"/>
        <v>900</v>
      </c>
      <c r="U27" s="117">
        <f t="shared" si="6"/>
        <v>900</v>
      </c>
      <c r="V27" s="117">
        <f t="shared" si="6"/>
        <v>900</v>
      </c>
      <c r="W27" s="117">
        <f t="shared" si="6"/>
        <v>900</v>
      </c>
      <c r="X27" s="117">
        <f t="shared" si="6"/>
        <v>900</v>
      </c>
      <c r="Y27" s="117">
        <f t="shared" si="6"/>
        <v>900</v>
      </c>
    </row>
    <row r="28" spans="1:25" x14ac:dyDescent="0.25">
      <c r="A28" s="35" t="str">
        <f>'GASTOS INDIRECTOS'!A7</f>
        <v>Agua</v>
      </c>
      <c r="B28" s="118">
        <f>'GASTOS INDIRECTOS'!E7</f>
        <v>60</v>
      </c>
      <c r="C28" s="117">
        <f>B28</f>
        <v>60</v>
      </c>
      <c r="D28" s="117">
        <f t="shared" ref="D28:Y31" si="7">C28</f>
        <v>60</v>
      </c>
      <c r="E28" s="117">
        <f t="shared" si="7"/>
        <v>60</v>
      </c>
      <c r="F28" s="117">
        <f t="shared" si="7"/>
        <v>60</v>
      </c>
      <c r="G28" s="117">
        <f t="shared" si="7"/>
        <v>60</v>
      </c>
      <c r="H28" s="117">
        <f t="shared" si="7"/>
        <v>60</v>
      </c>
      <c r="I28" s="117">
        <f t="shared" si="7"/>
        <v>60</v>
      </c>
      <c r="J28" s="117">
        <f t="shared" si="7"/>
        <v>60</v>
      </c>
      <c r="K28" s="117">
        <f t="shared" si="7"/>
        <v>60</v>
      </c>
      <c r="L28" s="117">
        <f t="shared" si="7"/>
        <v>60</v>
      </c>
      <c r="M28" s="117">
        <f t="shared" si="7"/>
        <v>60</v>
      </c>
      <c r="N28" s="117">
        <f t="shared" si="7"/>
        <v>60</v>
      </c>
      <c r="O28" s="117">
        <f t="shared" si="7"/>
        <v>60</v>
      </c>
      <c r="P28" s="117">
        <f t="shared" si="7"/>
        <v>60</v>
      </c>
      <c r="Q28" s="117">
        <f t="shared" si="7"/>
        <v>60</v>
      </c>
      <c r="R28" s="117">
        <f t="shared" si="7"/>
        <v>60</v>
      </c>
      <c r="S28" s="117">
        <f t="shared" si="7"/>
        <v>60</v>
      </c>
      <c r="T28" s="117">
        <f t="shared" si="7"/>
        <v>60</v>
      </c>
      <c r="U28" s="117">
        <f t="shared" si="7"/>
        <v>60</v>
      </c>
      <c r="V28" s="117">
        <f t="shared" si="7"/>
        <v>60</v>
      </c>
      <c r="W28" s="117">
        <f t="shared" si="7"/>
        <v>60</v>
      </c>
      <c r="X28" s="117">
        <f t="shared" si="7"/>
        <v>60</v>
      </c>
      <c r="Y28" s="117">
        <f t="shared" si="7"/>
        <v>60</v>
      </c>
    </row>
    <row r="29" spans="1:25" x14ac:dyDescent="0.25">
      <c r="A29" s="35" t="str">
        <f>'GASTOS INDIRECTOS'!A8</f>
        <v>Energia Electrica</v>
      </c>
      <c r="B29" s="118">
        <f>'GASTOS INDIRECTOS'!E8</f>
        <v>110</v>
      </c>
      <c r="C29" s="118">
        <f>B29</f>
        <v>110</v>
      </c>
      <c r="D29" s="118">
        <f t="shared" si="7"/>
        <v>110</v>
      </c>
      <c r="E29" s="118">
        <f t="shared" si="7"/>
        <v>110</v>
      </c>
      <c r="F29" s="118">
        <f t="shared" si="7"/>
        <v>110</v>
      </c>
      <c r="G29" s="118">
        <f t="shared" si="7"/>
        <v>110</v>
      </c>
      <c r="H29" s="118">
        <f t="shared" si="7"/>
        <v>110</v>
      </c>
      <c r="I29" s="118">
        <f t="shared" si="7"/>
        <v>110</v>
      </c>
      <c r="J29" s="118">
        <f t="shared" si="7"/>
        <v>110</v>
      </c>
      <c r="K29" s="118">
        <f t="shared" si="7"/>
        <v>110</v>
      </c>
      <c r="L29" s="118">
        <f t="shared" si="7"/>
        <v>110</v>
      </c>
      <c r="M29" s="118">
        <f t="shared" si="7"/>
        <v>110</v>
      </c>
      <c r="N29" s="118">
        <f t="shared" si="7"/>
        <v>110</v>
      </c>
      <c r="O29" s="118">
        <f t="shared" si="7"/>
        <v>110</v>
      </c>
      <c r="P29" s="118">
        <f t="shared" si="7"/>
        <v>110</v>
      </c>
      <c r="Q29" s="118">
        <f t="shared" si="7"/>
        <v>110</v>
      </c>
      <c r="R29" s="118">
        <f t="shared" si="7"/>
        <v>110</v>
      </c>
      <c r="S29" s="118">
        <f t="shared" si="7"/>
        <v>110</v>
      </c>
      <c r="T29" s="118">
        <f t="shared" si="7"/>
        <v>110</v>
      </c>
      <c r="U29" s="118">
        <f t="shared" si="7"/>
        <v>110</v>
      </c>
      <c r="V29" s="118">
        <f t="shared" si="7"/>
        <v>110</v>
      </c>
      <c r="W29" s="118">
        <f t="shared" si="7"/>
        <v>110</v>
      </c>
      <c r="X29" s="118">
        <f t="shared" si="7"/>
        <v>110</v>
      </c>
      <c r="Y29" s="118">
        <f t="shared" si="7"/>
        <v>110</v>
      </c>
    </row>
    <row r="30" spans="1:25" x14ac:dyDescent="0.25">
      <c r="A30" s="35" t="str">
        <f>'GASTOS INDIRECTOS'!A9</f>
        <v>Celulares</v>
      </c>
      <c r="B30" s="118">
        <f>'GASTOS INDIRECTOS'!E9</f>
        <v>120</v>
      </c>
      <c r="C30" s="118">
        <f>B30</f>
        <v>120</v>
      </c>
      <c r="D30" s="118">
        <f t="shared" si="7"/>
        <v>120</v>
      </c>
      <c r="E30" s="118">
        <f t="shared" si="7"/>
        <v>120</v>
      </c>
      <c r="F30" s="118">
        <f t="shared" si="7"/>
        <v>120</v>
      </c>
      <c r="G30" s="118">
        <f t="shared" si="7"/>
        <v>120</v>
      </c>
      <c r="H30" s="118">
        <f t="shared" si="7"/>
        <v>120</v>
      </c>
      <c r="I30" s="118">
        <f t="shared" si="7"/>
        <v>120</v>
      </c>
      <c r="J30" s="118">
        <f t="shared" si="7"/>
        <v>120</v>
      </c>
      <c r="K30" s="118">
        <f t="shared" si="7"/>
        <v>120</v>
      </c>
      <c r="L30" s="118">
        <f t="shared" si="7"/>
        <v>120</v>
      </c>
      <c r="M30" s="118">
        <f t="shared" si="7"/>
        <v>120</v>
      </c>
      <c r="N30" s="118">
        <f t="shared" si="7"/>
        <v>120</v>
      </c>
      <c r="O30" s="118">
        <f t="shared" si="7"/>
        <v>120</v>
      </c>
      <c r="P30" s="118">
        <f t="shared" si="7"/>
        <v>120</v>
      </c>
      <c r="Q30" s="118">
        <f t="shared" si="7"/>
        <v>120</v>
      </c>
      <c r="R30" s="118">
        <f t="shared" si="7"/>
        <v>120</v>
      </c>
      <c r="S30" s="118">
        <f t="shared" si="7"/>
        <v>120</v>
      </c>
      <c r="T30" s="118">
        <f t="shared" si="7"/>
        <v>120</v>
      </c>
      <c r="U30" s="118">
        <f t="shared" si="7"/>
        <v>120</v>
      </c>
      <c r="V30" s="118">
        <f t="shared" si="7"/>
        <v>120</v>
      </c>
      <c r="W30" s="118">
        <f t="shared" si="7"/>
        <v>120</v>
      </c>
      <c r="X30" s="118">
        <f t="shared" si="7"/>
        <v>120</v>
      </c>
      <c r="Y30" s="118">
        <f t="shared" si="7"/>
        <v>120</v>
      </c>
    </row>
    <row r="31" spans="1:25" x14ac:dyDescent="0.25">
      <c r="A31" s="35" t="str">
        <f>'GASTOS INDIRECTOS'!A10</f>
        <v>Mantenimiento de Local</v>
      </c>
      <c r="B31" s="118">
        <f>'GASTOS INDIRECTOS'!E10</f>
        <v>150</v>
      </c>
      <c r="C31" s="118">
        <f>B31</f>
        <v>150</v>
      </c>
      <c r="D31" s="118">
        <f t="shared" si="7"/>
        <v>150</v>
      </c>
      <c r="E31" s="118">
        <f t="shared" si="7"/>
        <v>150</v>
      </c>
      <c r="F31" s="118">
        <f t="shared" si="7"/>
        <v>150</v>
      </c>
      <c r="G31" s="118">
        <f t="shared" si="7"/>
        <v>150</v>
      </c>
      <c r="H31" s="118">
        <f t="shared" si="7"/>
        <v>150</v>
      </c>
      <c r="I31" s="118">
        <f t="shared" si="7"/>
        <v>150</v>
      </c>
      <c r="J31" s="118">
        <f t="shared" si="7"/>
        <v>150</v>
      </c>
      <c r="K31" s="118">
        <f t="shared" si="7"/>
        <v>150</v>
      </c>
      <c r="L31" s="117">
        <f t="shared" si="7"/>
        <v>150</v>
      </c>
      <c r="M31" s="117">
        <f t="shared" si="7"/>
        <v>150</v>
      </c>
      <c r="N31" s="117">
        <f t="shared" si="7"/>
        <v>150</v>
      </c>
      <c r="O31" s="117">
        <f t="shared" si="7"/>
        <v>150</v>
      </c>
      <c r="P31" s="117">
        <f t="shared" si="7"/>
        <v>150</v>
      </c>
      <c r="Q31" s="117">
        <f t="shared" si="7"/>
        <v>150</v>
      </c>
      <c r="R31" s="117">
        <f t="shared" si="7"/>
        <v>150</v>
      </c>
      <c r="S31" s="117">
        <f t="shared" si="7"/>
        <v>150</v>
      </c>
      <c r="T31" s="117">
        <f t="shared" si="7"/>
        <v>150</v>
      </c>
      <c r="U31" s="117">
        <f t="shared" si="7"/>
        <v>150</v>
      </c>
      <c r="V31" s="117">
        <f t="shared" si="7"/>
        <v>150</v>
      </c>
      <c r="W31" s="117">
        <f t="shared" si="7"/>
        <v>150</v>
      </c>
      <c r="X31" s="117">
        <f t="shared" si="7"/>
        <v>150</v>
      </c>
      <c r="Y31" s="117">
        <f t="shared" si="7"/>
        <v>150</v>
      </c>
    </row>
    <row r="32" spans="1:25" ht="13.5" x14ac:dyDescent="0.3">
      <c r="A32" s="206" t="s">
        <v>171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1:25" ht="13.5" x14ac:dyDescent="0.3">
      <c r="A33" s="209" t="s">
        <v>172</v>
      </c>
      <c r="B33" s="116">
        <f t="shared" ref="B33:Y33" si="8">SUM(B34:B35)</f>
        <v>280</v>
      </c>
      <c r="C33" s="116">
        <f t="shared" si="8"/>
        <v>280</v>
      </c>
      <c r="D33" s="116">
        <f t="shared" si="8"/>
        <v>280</v>
      </c>
      <c r="E33" s="116">
        <f t="shared" si="8"/>
        <v>280</v>
      </c>
      <c r="F33" s="116">
        <f t="shared" si="8"/>
        <v>280</v>
      </c>
      <c r="G33" s="116">
        <f t="shared" si="8"/>
        <v>280</v>
      </c>
      <c r="H33" s="116">
        <f t="shared" si="8"/>
        <v>280</v>
      </c>
      <c r="I33" s="116">
        <f t="shared" si="8"/>
        <v>280</v>
      </c>
      <c r="J33" s="116">
        <f t="shared" si="8"/>
        <v>280</v>
      </c>
      <c r="K33" s="116">
        <f t="shared" si="8"/>
        <v>280</v>
      </c>
      <c r="L33" s="116">
        <f t="shared" si="8"/>
        <v>280</v>
      </c>
      <c r="M33" s="116">
        <f t="shared" si="8"/>
        <v>280</v>
      </c>
      <c r="N33" s="116">
        <f t="shared" si="8"/>
        <v>280</v>
      </c>
      <c r="O33" s="116">
        <f t="shared" si="8"/>
        <v>280</v>
      </c>
      <c r="P33" s="116">
        <f t="shared" si="8"/>
        <v>280</v>
      </c>
      <c r="Q33" s="116">
        <f t="shared" si="8"/>
        <v>280</v>
      </c>
      <c r="R33" s="116">
        <f t="shared" si="8"/>
        <v>280</v>
      </c>
      <c r="S33" s="116">
        <f t="shared" si="8"/>
        <v>280</v>
      </c>
      <c r="T33" s="116">
        <f t="shared" si="8"/>
        <v>280</v>
      </c>
      <c r="U33" s="116">
        <f t="shared" si="8"/>
        <v>280</v>
      </c>
      <c r="V33" s="116">
        <f t="shared" si="8"/>
        <v>280</v>
      </c>
      <c r="W33" s="116">
        <f t="shared" si="8"/>
        <v>280</v>
      </c>
      <c r="X33" s="116">
        <f t="shared" si="8"/>
        <v>280</v>
      </c>
      <c r="Y33" s="116">
        <f t="shared" si="8"/>
        <v>280</v>
      </c>
    </row>
    <row r="34" spans="1:25" x14ac:dyDescent="0.25">
      <c r="A34" s="195" t="str">
        <f>+'GASTOS INDIRECTOS'!A12</f>
        <v>Merchandising</v>
      </c>
      <c r="B34" s="117">
        <f>+'GASTOS INDIRECTOS'!B12</f>
        <v>250</v>
      </c>
      <c r="C34" s="118">
        <f>B34</f>
        <v>250</v>
      </c>
      <c r="D34" s="118">
        <f t="shared" ref="D34:Y35" si="9">C34</f>
        <v>250</v>
      </c>
      <c r="E34" s="118">
        <f t="shared" si="9"/>
        <v>250</v>
      </c>
      <c r="F34" s="118">
        <f t="shared" si="9"/>
        <v>250</v>
      </c>
      <c r="G34" s="118">
        <f t="shared" si="9"/>
        <v>250</v>
      </c>
      <c r="H34" s="118">
        <f t="shared" si="9"/>
        <v>250</v>
      </c>
      <c r="I34" s="118">
        <f t="shared" si="9"/>
        <v>250</v>
      </c>
      <c r="J34" s="118">
        <f t="shared" si="9"/>
        <v>250</v>
      </c>
      <c r="K34" s="118">
        <f t="shared" si="9"/>
        <v>250</v>
      </c>
      <c r="L34" s="118">
        <f t="shared" si="9"/>
        <v>250</v>
      </c>
      <c r="M34" s="118">
        <f t="shared" si="9"/>
        <v>250</v>
      </c>
      <c r="N34" s="118">
        <f t="shared" si="9"/>
        <v>250</v>
      </c>
      <c r="O34" s="118">
        <f t="shared" si="9"/>
        <v>250</v>
      </c>
      <c r="P34" s="118">
        <f t="shared" si="9"/>
        <v>250</v>
      </c>
      <c r="Q34" s="118">
        <f t="shared" si="9"/>
        <v>250</v>
      </c>
      <c r="R34" s="118">
        <f t="shared" si="9"/>
        <v>250</v>
      </c>
      <c r="S34" s="118">
        <f t="shared" si="9"/>
        <v>250</v>
      </c>
      <c r="T34" s="118">
        <f t="shared" si="9"/>
        <v>250</v>
      </c>
      <c r="U34" s="118">
        <f t="shared" si="9"/>
        <v>250</v>
      </c>
      <c r="V34" s="118">
        <f t="shared" si="9"/>
        <v>250</v>
      </c>
      <c r="W34" s="118">
        <f t="shared" si="9"/>
        <v>250</v>
      </c>
      <c r="X34" s="118">
        <f t="shared" si="9"/>
        <v>250</v>
      </c>
      <c r="Y34" s="118">
        <f t="shared" si="9"/>
        <v>250</v>
      </c>
    </row>
    <row r="35" spans="1:25" x14ac:dyDescent="0.25">
      <c r="A35" s="195" t="str">
        <f>+'GASTOS INDIRECTOS'!A13</f>
        <v>Tarjetas</v>
      </c>
      <c r="B35" s="117">
        <f>+'GASTOS INDIRECTOS'!B13</f>
        <v>30</v>
      </c>
      <c r="C35" s="118">
        <f t="shared" ref="C35:R35" si="10">B35</f>
        <v>30</v>
      </c>
      <c r="D35" s="118">
        <f t="shared" si="10"/>
        <v>30</v>
      </c>
      <c r="E35" s="118">
        <f t="shared" si="10"/>
        <v>30</v>
      </c>
      <c r="F35" s="118">
        <f t="shared" si="10"/>
        <v>30</v>
      </c>
      <c r="G35" s="118">
        <f t="shared" si="10"/>
        <v>30</v>
      </c>
      <c r="H35" s="118">
        <f t="shared" si="10"/>
        <v>30</v>
      </c>
      <c r="I35" s="118">
        <f t="shared" si="10"/>
        <v>30</v>
      </c>
      <c r="J35" s="118">
        <f t="shared" si="10"/>
        <v>30</v>
      </c>
      <c r="K35" s="118">
        <f t="shared" si="10"/>
        <v>30</v>
      </c>
      <c r="L35" s="118">
        <f t="shared" si="10"/>
        <v>30</v>
      </c>
      <c r="M35" s="118">
        <f t="shared" si="10"/>
        <v>30</v>
      </c>
      <c r="N35" s="118">
        <f t="shared" si="10"/>
        <v>30</v>
      </c>
      <c r="O35" s="118">
        <f t="shared" si="10"/>
        <v>30</v>
      </c>
      <c r="P35" s="118">
        <f t="shared" si="10"/>
        <v>30</v>
      </c>
      <c r="Q35" s="118">
        <f t="shared" si="10"/>
        <v>30</v>
      </c>
      <c r="R35" s="118">
        <f t="shared" si="10"/>
        <v>30</v>
      </c>
      <c r="S35" s="118">
        <f t="shared" si="9"/>
        <v>30</v>
      </c>
      <c r="T35" s="118">
        <f t="shared" si="9"/>
        <v>30</v>
      </c>
      <c r="U35" s="118">
        <f t="shared" si="9"/>
        <v>30</v>
      </c>
      <c r="V35" s="118">
        <f t="shared" si="9"/>
        <v>30</v>
      </c>
      <c r="W35" s="118">
        <f t="shared" si="9"/>
        <v>30</v>
      </c>
      <c r="X35" s="118">
        <f t="shared" si="9"/>
        <v>30</v>
      </c>
      <c r="Y35" s="118">
        <f t="shared" si="9"/>
        <v>30</v>
      </c>
    </row>
    <row r="36" spans="1:25" x14ac:dyDescent="0.25">
      <c r="A36" s="34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3.5" x14ac:dyDescent="0.3">
      <c r="A37" s="209" t="s">
        <v>173</v>
      </c>
      <c r="B37" s="116">
        <f>B38+B39+B40</f>
        <v>1105.0691666666667</v>
      </c>
      <c r="C37" s="116">
        <f t="shared" ref="C37:Y37" si="11">C38+C39+C40</f>
        <v>1105.0691666666667</v>
      </c>
      <c r="D37" s="116">
        <f t="shared" si="11"/>
        <v>1105.0691666666667</v>
      </c>
      <c r="E37" s="116">
        <f t="shared" si="11"/>
        <v>1105.0691666666667</v>
      </c>
      <c r="F37" s="116">
        <f t="shared" si="11"/>
        <v>1105.0691666666667</v>
      </c>
      <c r="G37" s="116">
        <f t="shared" si="11"/>
        <v>1105.0691666666667</v>
      </c>
      <c r="H37" s="116">
        <f t="shared" si="11"/>
        <v>2086.0691666666667</v>
      </c>
      <c r="I37" s="116">
        <f t="shared" si="11"/>
        <v>1105.0691666666667</v>
      </c>
      <c r="J37" s="116">
        <f t="shared" si="11"/>
        <v>1105.0691666666667</v>
      </c>
      <c r="K37" s="116">
        <f t="shared" si="11"/>
        <v>1105.0691666666667</v>
      </c>
      <c r="L37" s="116">
        <f t="shared" si="11"/>
        <v>1105.0691666666667</v>
      </c>
      <c r="M37" s="116">
        <f t="shared" si="11"/>
        <v>2086.0691666666667</v>
      </c>
      <c r="N37" s="116">
        <f t="shared" si="11"/>
        <v>1105.0691666666667</v>
      </c>
      <c r="O37" s="116">
        <f t="shared" si="11"/>
        <v>1105.0691666666667</v>
      </c>
      <c r="P37" s="116">
        <f t="shared" si="11"/>
        <v>1105.0691666666667</v>
      </c>
      <c r="Q37" s="116">
        <f t="shared" si="11"/>
        <v>1105.0691666666667</v>
      </c>
      <c r="R37" s="116">
        <f t="shared" si="11"/>
        <v>1105.0691666666667</v>
      </c>
      <c r="S37" s="116">
        <f t="shared" si="11"/>
        <v>1105.0691666666667</v>
      </c>
      <c r="T37" s="116">
        <f t="shared" si="11"/>
        <v>2086.0691666666667</v>
      </c>
      <c r="U37" s="116">
        <f t="shared" si="11"/>
        <v>1105.0691666666667</v>
      </c>
      <c r="V37" s="116">
        <f t="shared" si="11"/>
        <v>1105.0691666666667</v>
      </c>
      <c r="W37" s="116">
        <f t="shared" si="11"/>
        <v>1105.0691666666667</v>
      </c>
      <c r="X37" s="116">
        <f t="shared" si="11"/>
        <v>1105.0691666666667</v>
      </c>
      <c r="Y37" s="116">
        <f t="shared" si="11"/>
        <v>2086.0691666666667</v>
      </c>
    </row>
    <row r="38" spans="1:25" x14ac:dyDescent="0.25">
      <c r="A38" s="35" t="s">
        <v>174</v>
      </c>
      <c r="B38" s="117">
        <f>'PLANILLA DE EMPLEADOS'!K16</f>
        <v>981</v>
      </c>
      <c r="C38" s="117">
        <f>B38</f>
        <v>981</v>
      </c>
      <c r="D38" s="117">
        <f t="shared" ref="D38:Y38" si="12">C38</f>
        <v>981</v>
      </c>
      <c r="E38" s="117">
        <f t="shared" si="12"/>
        <v>981</v>
      </c>
      <c r="F38" s="117">
        <f t="shared" si="12"/>
        <v>981</v>
      </c>
      <c r="G38" s="117">
        <f t="shared" si="12"/>
        <v>981</v>
      </c>
      <c r="H38" s="117">
        <f t="shared" si="12"/>
        <v>981</v>
      </c>
      <c r="I38" s="117">
        <f t="shared" si="12"/>
        <v>981</v>
      </c>
      <c r="J38" s="117">
        <f t="shared" si="12"/>
        <v>981</v>
      </c>
      <c r="K38" s="117">
        <f t="shared" si="12"/>
        <v>981</v>
      </c>
      <c r="L38" s="117">
        <f t="shared" si="12"/>
        <v>981</v>
      </c>
      <c r="M38" s="117">
        <f t="shared" si="12"/>
        <v>981</v>
      </c>
      <c r="N38" s="117">
        <f t="shared" si="12"/>
        <v>981</v>
      </c>
      <c r="O38" s="117">
        <f t="shared" si="12"/>
        <v>981</v>
      </c>
      <c r="P38" s="117">
        <f t="shared" si="12"/>
        <v>981</v>
      </c>
      <c r="Q38" s="117">
        <f t="shared" si="12"/>
        <v>981</v>
      </c>
      <c r="R38" s="117">
        <f t="shared" si="12"/>
        <v>981</v>
      </c>
      <c r="S38" s="117">
        <f t="shared" si="12"/>
        <v>981</v>
      </c>
      <c r="T38" s="117">
        <f t="shared" si="12"/>
        <v>981</v>
      </c>
      <c r="U38" s="117">
        <f t="shared" si="12"/>
        <v>981</v>
      </c>
      <c r="V38" s="117">
        <f t="shared" si="12"/>
        <v>981</v>
      </c>
      <c r="W38" s="117">
        <f t="shared" si="12"/>
        <v>981</v>
      </c>
      <c r="X38" s="117">
        <f t="shared" si="12"/>
        <v>981</v>
      </c>
      <c r="Y38" s="117">
        <f t="shared" si="12"/>
        <v>981</v>
      </c>
    </row>
    <row r="39" spans="1:25" x14ac:dyDescent="0.25">
      <c r="A39" s="34" t="s">
        <v>169</v>
      </c>
      <c r="B39" s="117"/>
      <c r="C39" s="117"/>
      <c r="D39" s="117"/>
      <c r="E39" s="117"/>
      <c r="F39" s="117"/>
      <c r="G39" s="117"/>
      <c r="H39" s="117">
        <f>B38</f>
        <v>981</v>
      </c>
      <c r="I39" s="117"/>
      <c r="J39" s="117"/>
      <c r="K39" s="117"/>
      <c r="L39" s="117"/>
      <c r="M39" s="117">
        <f>B38</f>
        <v>981</v>
      </c>
      <c r="N39" s="117"/>
      <c r="O39" s="117"/>
      <c r="P39" s="117"/>
      <c r="Q39" s="117"/>
      <c r="R39" s="117"/>
      <c r="S39" s="117"/>
      <c r="T39" s="117">
        <f>B38</f>
        <v>981</v>
      </c>
      <c r="U39" s="117"/>
      <c r="V39" s="117"/>
      <c r="W39" s="117"/>
      <c r="X39" s="117"/>
      <c r="Y39" s="117">
        <f>B38</f>
        <v>981</v>
      </c>
    </row>
    <row r="40" spans="1:25" x14ac:dyDescent="0.25">
      <c r="A40" s="35" t="s">
        <v>175</v>
      </c>
      <c r="B40" s="118">
        <f>DEPRECIACION!H30</f>
        <v>124.06916666666667</v>
      </c>
      <c r="C40" s="118">
        <f>B40</f>
        <v>124.06916666666667</v>
      </c>
      <c r="D40" s="118">
        <f t="shared" ref="D40:Y40" si="13">C40</f>
        <v>124.06916666666667</v>
      </c>
      <c r="E40" s="118">
        <f t="shared" si="13"/>
        <v>124.06916666666667</v>
      </c>
      <c r="F40" s="118">
        <f t="shared" si="13"/>
        <v>124.06916666666667</v>
      </c>
      <c r="G40" s="118">
        <f t="shared" si="13"/>
        <v>124.06916666666667</v>
      </c>
      <c r="H40" s="118">
        <f t="shared" si="13"/>
        <v>124.06916666666667</v>
      </c>
      <c r="I40" s="118">
        <f t="shared" si="13"/>
        <v>124.06916666666667</v>
      </c>
      <c r="J40" s="118">
        <f t="shared" si="13"/>
        <v>124.06916666666667</v>
      </c>
      <c r="K40" s="118">
        <f t="shared" si="13"/>
        <v>124.06916666666667</v>
      </c>
      <c r="L40" s="118">
        <f t="shared" si="13"/>
        <v>124.06916666666667</v>
      </c>
      <c r="M40" s="118">
        <f t="shared" si="13"/>
        <v>124.06916666666667</v>
      </c>
      <c r="N40" s="118">
        <f t="shared" si="13"/>
        <v>124.06916666666667</v>
      </c>
      <c r="O40" s="118">
        <f t="shared" si="13"/>
        <v>124.06916666666667</v>
      </c>
      <c r="P40" s="118">
        <f t="shared" si="13"/>
        <v>124.06916666666667</v>
      </c>
      <c r="Q40" s="118">
        <f t="shared" si="13"/>
        <v>124.06916666666667</v>
      </c>
      <c r="R40" s="118">
        <f t="shared" si="13"/>
        <v>124.06916666666667</v>
      </c>
      <c r="S40" s="118">
        <f t="shared" si="13"/>
        <v>124.06916666666667</v>
      </c>
      <c r="T40" s="118">
        <f t="shared" si="13"/>
        <v>124.06916666666667</v>
      </c>
      <c r="U40" s="118">
        <f t="shared" si="13"/>
        <v>124.06916666666667</v>
      </c>
      <c r="V40" s="118">
        <f t="shared" si="13"/>
        <v>124.06916666666667</v>
      </c>
      <c r="W40" s="118">
        <f t="shared" si="13"/>
        <v>124.06916666666667</v>
      </c>
      <c r="X40" s="118">
        <f t="shared" si="13"/>
        <v>124.06916666666667</v>
      </c>
      <c r="Y40" s="118">
        <f t="shared" si="13"/>
        <v>124.06916666666667</v>
      </c>
    </row>
  </sheetData>
  <pageMargins left="0.7" right="0.7" top="0.75" bottom="0.75" header="0.3" footer="0.3"/>
  <pageSetup orientation="portrait" horizontalDpi="4294967292" verticalDpi="0" r:id="rId1"/>
  <ignoredErrors>
    <ignoredError sqref="H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zoomScale="120" zoomScaleNormal="120" workbookViewId="0">
      <pane xSplit="1" ySplit="3" topLeftCell="L4" activePane="bottomRight" state="frozenSplit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" customHeight="1" x14ac:dyDescent="0.25"/>
  <cols>
    <col min="1" max="1" width="28.85546875" style="29" customWidth="1"/>
    <col min="2" max="13" width="10.5703125" style="29" customWidth="1"/>
    <col min="14" max="22" width="10.5703125" style="29" bestFit="1" customWidth="1"/>
    <col min="23" max="23" width="11.7109375" style="29" customWidth="1"/>
    <col min="24" max="25" width="10.5703125" style="29" bestFit="1" customWidth="1"/>
    <col min="26" max="16384" width="11.42578125" style="29"/>
  </cols>
  <sheetData>
    <row r="1" spans="1:25" ht="12" customHeight="1" x14ac:dyDescent="0.3">
      <c r="A1" s="56" t="s">
        <v>176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2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2" customHeight="1" x14ac:dyDescent="0.25">
      <c r="A3" s="202" t="s">
        <v>163</v>
      </c>
      <c r="B3" s="202">
        <v>1</v>
      </c>
      <c r="C3" s="202">
        <v>2</v>
      </c>
      <c r="D3" s="202">
        <v>3</v>
      </c>
      <c r="E3" s="202">
        <v>4</v>
      </c>
      <c r="F3" s="202">
        <v>5</v>
      </c>
      <c r="G3" s="202">
        <v>6</v>
      </c>
      <c r="H3" s="202">
        <v>7</v>
      </c>
      <c r="I3" s="202">
        <v>8</v>
      </c>
      <c r="J3" s="202">
        <v>9</v>
      </c>
      <c r="K3" s="202">
        <v>10</v>
      </c>
      <c r="L3" s="202">
        <v>11</v>
      </c>
      <c r="M3" s="202">
        <v>12</v>
      </c>
      <c r="N3" s="202">
        <v>13</v>
      </c>
      <c r="O3" s="202">
        <v>14</v>
      </c>
      <c r="P3" s="202">
        <v>15</v>
      </c>
      <c r="Q3" s="202">
        <v>16</v>
      </c>
      <c r="R3" s="202">
        <v>17</v>
      </c>
      <c r="S3" s="202">
        <v>18</v>
      </c>
      <c r="T3" s="202">
        <v>19</v>
      </c>
      <c r="U3" s="202">
        <v>20</v>
      </c>
      <c r="V3" s="202">
        <v>21</v>
      </c>
      <c r="W3" s="202">
        <v>22</v>
      </c>
      <c r="X3" s="202">
        <v>23</v>
      </c>
      <c r="Y3" s="202">
        <v>24</v>
      </c>
    </row>
    <row r="4" spans="1:25" ht="12" customHeight="1" x14ac:dyDescent="0.3">
      <c r="A4" s="57" t="s">
        <v>177</v>
      </c>
      <c r="B4" s="113">
        <f>'INGRESO POR VENTAS'!C31</f>
        <v>66920</v>
      </c>
      <c r="C4" s="113">
        <f>'INGRESO POR VENTAS'!D31</f>
        <v>66920</v>
      </c>
      <c r="D4" s="113">
        <f>'INGRESO POR VENTAS'!E31</f>
        <v>66920</v>
      </c>
      <c r="E4" s="113">
        <f>'INGRESO POR VENTAS'!F31</f>
        <v>33460</v>
      </c>
      <c r="F4" s="113">
        <f>'INGRESO POR VENTAS'!G31</f>
        <v>66920</v>
      </c>
      <c r="G4" s="113">
        <f>'INGRESO POR VENTAS'!H31</f>
        <v>33460</v>
      </c>
      <c r="H4" s="113">
        <f>'INGRESO POR VENTAS'!I31</f>
        <v>66920</v>
      </c>
      <c r="I4" s="113">
        <f>'INGRESO POR VENTAS'!J31</f>
        <v>66920</v>
      </c>
      <c r="J4" s="113">
        <f>'INGRESO POR VENTAS'!K31</f>
        <v>66920</v>
      </c>
      <c r="K4" s="113">
        <f>'INGRESO POR VENTAS'!L31</f>
        <v>66920</v>
      </c>
      <c r="L4" s="113">
        <f>'INGRESO POR VENTAS'!M31</f>
        <v>66920</v>
      </c>
      <c r="M4" s="113">
        <f>'INGRESO POR VENTAS'!N31</f>
        <v>66920</v>
      </c>
      <c r="N4" s="113">
        <f>'INGRESO POR VENTAS'!O31</f>
        <v>66920</v>
      </c>
      <c r="O4" s="113">
        <f>'INGRESO POR VENTAS'!P31</f>
        <v>66920</v>
      </c>
      <c r="P4" s="113">
        <f>'INGRESO POR VENTAS'!Q31</f>
        <v>66920</v>
      </c>
      <c r="Q4" s="113">
        <f>'INGRESO POR VENTAS'!R31</f>
        <v>66920</v>
      </c>
      <c r="R4" s="113">
        <f>'INGRESO POR VENTAS'!S31</f>
        <v>66920</v>
      </c>
      <c r="S4" s="113">
        <f>'INGRESO POR VENTAS'!T31</f>
        <v>66920</v>
      </c>
      <c r="T4" s="113">
        <f>'INGRESO POR VENTAS'!U31</f>
        <v>66920</v>
      </c>
      <c r="U4" s="113">
        <f>'INGRESO POR VENTAS'!V31</f>
        <v>66920</v>
      </c>
      <c r="V4" s="113">
        <f>'INGRESO POR VENTAS'!W31</f>
        <v>66920</v>
      </c>
      <c r="W4" s="113">
        <f>'INGRESO POR VENTAS'!X31</f>
        <v>66920</v>
      </c>
      <c r="X4" s="113">
        <f>'INGRESO POR VENTAS'!Y31</f>
        <v>66920</v>
      </c>
      <c r="Y4" s="113">
        <f>'INGRESO POR VENTAS'!Z31</f>
        <v>66920</v>
      </c>
    </row>
    <row r="5" spans="1:25" ht="12" customHeight="1" x14ac:dyDescent="0.3">
      <c r="A5" s="57" t="s">
        <v>178</v>
      </c>
      <c r="B5" s="288">
        <f>B6+B7+B8</f>
        <v>36580.6</v>
      </c>
      <c r="C5" s="288">
        <f t="shared" ref="C5:Y5" si="0">C6+C7+C8</f>
        <v>36580.6</v>
      </c>
      <c r="D5" s="288">
        <f t="shared" si="0"/>
        <v>36580.6</v>
      </c>
      <c r="E5" s="288">
        <f t="shared" si="0"/>
        <v>20526.8</v>
      </c>
      <c r="F5" s="288">
        <f t="shared" si="0"/>
        <v>36580.6</v>
      </c>
      <c r="G5" s="288">
        <f t="shared" si="0"/>
        <v>20526.8</v>
      </c>
      <c r="H5" s="288">
        <f t="shared" si="0"/>
        <v>36580.6</v>
      </c>
      <c r="I5" s="288">
        <f t="shared" si="0"/>
        <v>36580.6</v>
      </c>
      <c r="J5" s="288">
        <f t="shared" si="0"/>
        <v>36580.6</v>
      </c>
      <c r="K5" s="288">
        <f t="shared" si="0"/>
        <v>36580.6</v>
      </c>
      <c r="L5" s="288">
        <f t="shared" si="0"/>
        <v>36580.6</v>
      </c>
      <c r="M5" s="288">
        <f t="shared" si="0"/>
        <v>36580.6</v>
      </c>
      <c r="N5" s="288">
        <f t="shared" si="0"/>
        <v>36580.6</v>
      </c>
      <c r="O5" s="288">
        <f t="shared" si="0"/>
        <v>36580.6</v>
      </c>
      <c r="P5" s="288">
        <f t="shared" si="0"/>
        <v>36580.6</v>
      </c>
      <c r="Q5" s="288">
        <f t="shared" si="0"/>
        <v>36580.6</v>
      </c>
      <c r="R5" s="288">
        <f t="shared" si="0"/>
        <v>36580.6</v>
      </c>
      <c r="S5" s="288">
        <f t="shared" si="0"/>
        <v>36580.6</v>
      </c>
      <c r="T5" s="288">
        <f t="shared" si="0"/>
        <v>36580.6</v>
      </c>
      <c r="U5" s="288">
        <f t="shared" si="0"/>
        <v>36580.6</v>
      </c>
      <c r="V5" s="288">
        <f t="shared" si="0"/>
        <v>36580.6</v>
      </c>
      <c r="W5" s="288">
        <f t="shared" si="0"/>
        <v>36580.6</v>
      </c>
      <c r="X5" s="288">
        <f t="shared" si="0"/>
        <v>36580.6</v>
      </c>
      <c r="Y5" s="288">
        <f t="shared" si="0"/>
        <v>36580.6</v>
      </c>
    </row>
    <row r="6" spans="1:25" ht="12" customHeight="1" x14ac:dyDescent="0.25">
      <c r="A6" s="58" t="s">
        <v>179</v>
      </c>
      <c r="B6" s="286">
        <f>'PLANILLA DE EMPLEADOS'!J21</f>
        <v>4033</v>
      </c>
      <c r="C6" s="286">
        <f>B6</f>
        <v>4033</v>
      </c>
      <c r="D6" s="286">
        <f t="shared" ref="D6:Y6" si="1">C6</f>
        <v>4033</v>
      </c>
      <c r="E6" s="286">
        <f t="shared" si="1"/>
        <v>4033</v>
      </c>
      <c r="F6" s="286">
        <f t="shared" si="1"/>
        <v>4033</v>
      </c>
      <c r="G6" s="286">
        <f t="shared" si="1"/>
        <v>4033</v>
      </c>
      <c r="H6" s="286">
        <f t="shared" si="1"/>
        <v>4033</v>
      </c>
      <c r="I6" s="286">
        <f t="shared" si="1"/>
        <v>4033</v>
      </c>
      <c r="J6" s="286">
        <f t="shared" si="1"/>
        <v>4033</v>
      </c>
      <c r="K6" s="286">
        <f t="shared" si="1"/>
        <v>4033</v>
      </c>
      <c r="L6" s="286">
        <f t="shared" si="1"/>
        <v>4033</v>
      </c>
      <c r="M6" s="286">
        <f t="shared" si="1"/>
        <v>4033</v>
      </c>
      <c r="N6" s="286">
        <f t="shared" si="1"/>
        <v>4033</v>
      </c>
      <c r="O6" s="286">
        <f t="shared" si="1"/>
        <v>4033</v>
      </c>
      <c r="P6" s="286">
        <f t="shared" si="1"/>
        <v>4033</v>
      </c>
      <c r="Q6" s="286">
        <f t="shared" si="1"/>
        <v>4033</v>
      </c>
      <c r="R6" s="286">
        <f t="shared" si="1"/>
        <v>4033</v>
      </c>
      <c r="S6" s="286">
        <f t="shared" si="1"/>
        <v>4033</v>
      </c>
      <c r="T6" s="286">
        <f t="shared" si="1"/>
        <v>4033</v>
      </c>
      <c r="U6" s="286">
        <f t="shared" si="1"/>
        <v>4033</v>
      </c>
      <c r="V6" s="286">
        <f t="shared" si="1"/>
        <v>4033</v>
      </c>
      <c r="W6" s="286">
        <f t="shared" si="1"/>
        <v>4033</v>
      </c>
      <c r="X6" s="286">
        <f t="shared" si="1"/>
        <v>4033</v>
      </c>
      <c r="Y6" s="286">
        <f t="shared" si="1"/>
        <v>4033</v>
      </c>
    </row>
    <row r="7" spans="1:25" ht="12" customHeight="1" x14ac:dyDescent="0.25">
      <c r="A7" s="60" t="str">
        <f>'PRESUPUESTO DE GASTOS'!A6</f>
        <v>I. INSUMOS USADOS</v>
      </c>
      <c r="B7" s="286">
        <f>'PRESUPUESTO DE GASTOS'!B6</f>
        <v>32107.599999999999</v>
      </c>
      <c r="C7" s="286">
        <f>'PRESUPUESTO DE GASTOS'!C6</f>
        <v>32107.599999999999</v>
      </c>
      <c r="D7" s="286">
        <f>'PRESUPUESTO DE GASTOS'!D6</f>
        <v>32107.599999999999</v>
      </c>
      <c r="E7" s="286">
        <f>'PRESUPUESTO DE GASTOS'!E6</f>
        <v>16053.8</v>
      </c>
      <c r="F7" s="286">
        <f>'PRESUPUESTO DE GASTOS'!F6</f>
        <v>32107.599999999999</v>
      </c>
      <c r="G7" s="286">
        <f>'PRESUPUESTO DE GASTOS'!G6</f>
        <v>16053.8</v>
      </c>
      <c r="H7" s="286">
        <f>'PRESUPUESTO DE GASTOS'!H6</f>
        <v>32107.599999999999</v>
      </c>
      <c r="I7" s="286">
        <f>'PRESUPUESTO DE GASTOS'!I6</f>
        <v>32107.599999999999</v>
      </c>
      <c r="J7" s="286">
        <f>'PRESUPUESTO DE GASTOS'!J6</f>
        <v>32107.599999999999</v>
      </c>
      <c r="K7" s="286">
        <f>'PRESUPUESTO DE GASTOS'!K6</f>
        <v>32107.599999999999</v>
      </c>
      <c r="L7" s="286">
        <f>'PRESUPUESTO DE GASTOS'!L6</f>
        <v>32107.599999999999</v>
      </c>
      <c r="M7" s="286">
        <f>'PRESUPUESTO DE GASTOS'!M6</f>
        <v>32107.599999999999</v>
      </c>
      <c r="N7" s="286">
        <f>'PRESUPUESTO DE GASTOS'!N6</f>
        <v>32107.599999999999</v>
      </c>
      <c r="O7" s="286">
        <f>'PRESUPUESTO DE GASTOS'!O6</f>
        <v>32107.599999999999</v>
      </c>
      <c r="P7" s="286">
        <f>'PRESUPUESTO DE GASTOS'!P6</f>
        <v>32107.599999999999</v>
      </c>
      <c r="Q7" s="286">
        <f>'PRESUPUESTO DE GASTOS'!Q6</f>
        <v>32107.599999999999</v>
      </c>
      <c r="R7" s="286">
        <f>'PRESUPUESTO DE GASTOS'!R6</f>
        <v>32107.599999999999</v>
      </c>
      <c r="S7" s="286">
        <f>'PRESUPUESTO DE GASTOS'!S6</f>
        <v>32107.599999999999</v>
      </c>
      <c r="T7" s="286">
        <f>'PRESUPUESTO DE GASTOS'!T6</f>
        <v>32107.599999999999</v>
      </c>
      <c r="U7" s="286">
        <f>'PRESUPUESTO DE GASTOS'!U6</f>
        <v>32107.599999999999</v>
      </c>
      <c r="V7" s="286">
        <f>'PRESUPUESTO DE GASTOS'!V6</f>
        <v>32107.599999999999</v>
      </c>
      <c r="W7" s="286">
        <f>'PRESUPUESTO DE GASTOS'!W6</f>
        <v>32107.599999999999</v>
      </c>
      <c r="X7" s="286">
        <f>'PRESUPUESTO DE GASTOS'!X6</f>
        <v>32107.599999999999</v>
      </c>
      <c r="Y7" s="286">
        <f>'PRESUPUESTO DE GASTOS'!Y6</f>
        <v>32107.599999999999</v>
      </c>
    </row>
    <row r="8" spans="1:25" ht="12" customHeight="1" x14ac:dyDescent="0.25">
      <c r="A8" s="60" t="s">
        <v>180</v>
      </c>
      <c r="B8" s="286">
        <f>'GASTOS INDIRECTOS'!E5</f>
        <v>440</v>
      </c>
      <c r="C8" s="286">
        <f>B8</f>
        <v>440</v>
      </c>
      <c r="D8" s="286">
        <f t="shared" ref="D8:Y8" si="2">C8</f>
        <v>440</v>
      </c>
      <c r="E8" s="286">
        <f t="shared" si="2"/>
        <v>440</v>
      </c>
      <c r="F8" s="286">
        <f t="shared" si="2"/>
        <v>440</v>
      </c>
      <c r="G8" s="286">
        <f t="shared" si="2"/>
        <v>440</v>
      </c>
      <c r="H8" s="286">
        <f t="shared" si="2"/>
        <v>440</v>
      </c>
      <c r="I8" s="286">
        <f t="shared" si="2"/>
        <v>440</v>
      </c>
      <c r="J8" s="286">
        <f t="shared" si="2"/>
        <v>440</v>
      </c>
      <c r="K8" s="286">
        <f t="shared" si="2"/>
        <v>440</v>
      </c>
      <c r="L8" s="286">
        <f t="shared" si="2"/>
        <v>440</v>
      </c>
      <c r="M8" s="286">
        <f t="shared" si="2"/>
        <v>440</v>
      </c>
      <c r="N8" s="286">
        <f t="shared" si="2"/>
        <v>440</v>
      </c>
      <c r="O8" s="286">
        <f t="shared" si="2"/>
        <v>440</v>
      </c>
      <c r="P8" s="286">
        <f t="shared" si="2"/>
        <v>440</v>
      </c>
      <c r="Q8" s="286">
        <f t="shared" si="2"/>
        <v>440</v>
      </c>
      <c r="R8" s="286">
        <f t="shared" si="2"/>
        <v>440</v>
      </c>
      <c r="S8" s="286">
        <f t="shared" si="2"/>
        <v>440</v>
      </c>
      <c r="T8" s="286">
        <f t="shared" si="2"/>
        <v>440</v>
      </c>
      <c r="U8" s="286">
        <f t="shared" si="2"/>
        <v>440</v>
      </c>
      <c r="V8" s="286">
        <f t="shared" si="2"/>
        <v>440</v>
      </c>
      <c r="W8" s="286">
        <f t="shared" si="2"/>
        <v>440</v>
      </c>
      <c r="X8" s="286">
        <f t="shared" si="2"/>
        <v>440</v>
      </c>
      <c r="Y8" s="286">
        <f t="shared" si="2"/>
        <v>440</v>
      </c>
    </row>
    <row r="9" spans="1:25" ht="12" customHeight="1" x14ac:dyDescent="0.3">
      <c r="A9" s="59" t="s">
        <v>181</v>
      </c>
      <c r="B9" s="288">
        <f>+B4-B5</f>
        <v>30339.4</v>
      </c>
      <c r="C9" s="288">
        <f t="shared" ref="C9:Y9" si="3">+C4-C5</f>
        <v>30339.4</v>
      </c>
      <c r="D9" s="288">
        <f t="shared" si="3"/>
        <v>30339.4</v>
      </c>
      <c r="E9" s="288">
        <f t="shared" si="3"/>
        <v>12933.2</v>
      </c>
      <c r="F9" s="288">
        <f t="shared" si="3"/>
        <v>30339.4</v>
      </c>
      <c r="G9" s="288">
        <f t="shared" si="3"/>
        <v>12933.2</v>
      </c>
      <c r="H9" s="288">
        <f t="shared" si="3"/>
        <v>30339.4</v>
      </c>
      <c r="I9" s="288">
        <f t="shared" si="3"/>
        <v>30339.4</v>
      </c>
      <c r="J9" s="288">
        <f t="shared" si="3"/>
        <v>30339.4</v>
      </c>
      <c r="K9" s="288">
        <f t="shared" si="3"/>
        <v>30339.4</v>
      </c>
      <c r="L9" s="288">
        <f t="shared" si="3"/>
        <v>30339.4</v>
      </c>
      <c r="M9" s="288">
        <f t="shared" si="3"/>
        <v>30339.4</v>
      </c>
      <c r="N9" s="288">
        <f t="shared" si="3"/>
        <v>30339.4</v>
      </c>
      <c r="O9" s="288">
        <f t="shared" si="3"/>
        <v>30339.4</v>
      </c>
      <c r="P9" s="288">
        <f t="shared" si="3"/>
        <v>30339.4</v>
      </c>
      <c r="Q9" s="288">
        <f t="shared" si="3"/>
        <v>30339.4</v>
      </c>
      <c r="R9" s="288">
        <f t="shared" si="3"/>
        <v>30339.4</v>
      </c>
      <c r="S9" s="288">
        <f t="shared" si="3"/>
        <v>30339.4</v>
      </c>
      <c r="T9" s="288">
        <f t="shared" si="3"/>
        <v>30339.4</v>
      </c>
      <c r="U9" s="288">
        <f t="shared" si="3"/>
        <v>30339.4</v>
      </c>
      <c r="V9" s="288">
        <f t="shared" si="3"/>
        <v>30339.4</v>
      </c>
      <c r="W9" s="288">
        <f t="shared" si="3"/>
        <v>30339.4</v>
      </c>
      <c r="X9" s="288">
        <f t="shared" si="3"/>
        <v>30339.4</v>
      </c>
      <c r="Y9" s="288">
        <f t="shared" si="3"/>
        <v>30339.4</v>
      </c>
    </row>
    <row r="10" spans="1:25" ht="12" customHeight="1" x14ac:dyDescent="0.25">
      <c r="A10" s="60" t="s">
        <v>182</v>
      </c>
      <c r="B10" s="286">
        <f>'PRESUPUESTO DE GASTOS'!B38</f>
        <v>981</v>
      </c>
      <c r="C10" s="286">
        <f>'PRESUPUESTO DE GASTOS'!C38</f>
        <v>981</v>
      </c>
      <c r="D10" s="286">
        <f>'PRESUPUESTO DE GASTOS'!D38</f>
        <v>981</v>
      </c>
      <c r="E10" s="286">
        <f>'PRESUPUESTO DE GASTOS'!E38</f>
        <v>981</v>
      </c>
      <c r="F10" s="286">
        <f>'PRESUPUESTO DE GASTOS'!F38</f>
        <v>981</v>
      </c>
      <c r="G10" s="286">
        <f>'PRESUPUESTO DE GASTOS'!G38</f>
        <v>981</v>
      </c>
      <c r="H10" s="286">
        <f>'PRESUPUESTO DE GASTOS'!H38+'PRESUPUESTO DE GASTOS'!H39</f>
        <v>1962</v>
      </c>
      <c r="I10" s="286">
        <f>'PRESUPUESTO DE GASTOS'!I38</f>
        <v>981</v>
      </c>
      <c r="J10" s="286">
        <f>'PRESUPUESTO DE GASTOS'!J38</f>
        <v>981</v>
      </c>
      <c r="K10" s="286">
        <f>'PRESUPUESTO DE GASTOS'!K38</f>
        <v>981</v>
      </c>
      <c r="L10" s="286">
        <f>'PRESUPUESTO DE GASTOS'!L38</f>
        <v>981</v>
      </c>
      <c r="M10" s="286">
        <f>'PRESUPUESTO DE GASTOS'!M38+'PRESUPUESTO DE GASTOS'!M39</f>
        <v>1962</v>
      </c>
      <c r="N10" s="286">
        <f>'PRESUPUESTO DE GASTOS'!N38</f>
        <v>981</v>
      </c>
      <c r="O10" s="286">
        <f>'PRESUPUESTO DE GASTOS'!O38</f>
        <v>981</v>
      </c>
      <c r="P10" s="286">
        <f>'PRESUPUESTO DE GASTOS'!P38</f>
        <v>981</v>
      </c>
      <c r="Q10" s="286">
        <f>'PRESUPUESTO DE GASTOS'!Q38</f>
        <v>981</v>
      </c>
      <c r="R10" s="286">
        <f>'PRESUPUESTO DE GASTOS'!R38</f>
        <v>981</v>
      </c>
      <c r="S10" s="286">
        <f>'PRESUPUESTO DE GASTOS'!S38</f>
        <v>981</v>
      </c>
      <c r="T10" s="286">
        <f>'PRESUPUESTO DE GASTOS'!T38+'PRESUPUESTO DE GASTOS'!T39</f>
        <v>1962</v>
      </c>
      <c r="U10" s="286">
        <f>'PRESUPUESTO DE GASTOS'!U38</f>
        <v>981</v>
      </c>
      <c r="V10" s="286">
        <f>'PRESUPUESTO DE GASTOS'!V38</f>
        <v>981</v>
      </c>
      <c r="W10" s="286">
        <f>'PRESUPUESTO DE GASTOS'!W38</f>
        <v>981</v>
      </c>
      <c r="X10" s="286">
        <f>'PRESUPUESTO DE GASTOS'!X38</f>
        <v>981</v>
      </c>
      <c r="Y10" s="286">
        <f>'PRESUPUESTO DE GASTOS'!Y38+'PRESUPUESTO DE GASTOS'!Y39</f>
        <v>1962</v>
      </c>
    </row>
    <row r="11" spans="1:25" ht="12" customHeight="1" x14ac:dyDescent="0.25">
      <c r="A11" s="60" t="s">
        <v>183</v>
      </c>
      <c r="B11" s="286">
        <f>'PRESUPUESTO DE GASTOS'!B33</f>
        <v>280</v>
      </c>
      <c r="C11" s="286">
        <f>'PRESUPUESTO DE GASTOS'!C33</f>
        <v>280</v>
      </c>
      <c r="D11" s="286">
        <f>'PRESUPUESTO DE GASTOS'!D33</f>
        <v>280</v>
      </c>
      <c r="E11" s="286">
        <f>'PRESUPUESTO DE GASTOS'!E33</f>
        <v>280</v>
      </c>
      <c r="F11" s="286">
        <f>'PRESUPUESTO DE GASTOS'!F33</f>
        <v>280</v>
      </c>
      <c r="G11" s="286">
        <f>'PRESUPUESTO DE GASTOS'!G33</f>
        <v>280</v>
      </c>
      <c r="H11" s="286">
        <f>'PRESUPUESTO DE GASTOS'!H33</f>
        <v>280</v>
      </c>
      <c r="I11" s="286">
        <f>'PRESUPUESTO DE GASTOS'!I33</f>
        <v>280</v>
      </c>
      <c r="J11" s="286">
        <f>'PRESUPUESTO DE GASTOS'!J33</f>
        <v>280</v>
      </c>
      <c r="K11" s="286">
        <f>'PRESUPUESTO DE GASTOS'!K33</f>
        <v>280</v>
      </c>
      <c r="L11" s="286">
        <f>'PRESUPUESTO DE GASTOS'!L33</f>
        <v>280</v>
      </c>
      <c r="M11" s="286">
        <f>'PRESUPUESTO DE GASTOS'!M33</f>
        <v>280</v>
      </c>
      <c r="N11" s="286">
        <f>'PRESUPUESTO DE GASTOS'!N33</f>
        <v>280</v>
      </c>
      <c r="O11" s="286">
        <f>'PRESUPUESTO DE GASTOS'!O33</f>
        <v>280</v>
      </c>
      <c r="P11" s="286">
        <f>'PRESUPUESTO DE GASTOS'!P33</f>
        <v>280</v>
      </c>
      <c r="Q11" s="286">
        <f>'PRESUPUESTO DE GASTOS'!Q33</f>
        <v>280</v>
      </c>
      <c r="R11" s="286">
        <f>'PRESUPUESTO DE GASTOS'!R33</f>
        <v>280</v>
      </c>
      <c r="S11" s="286">
        <f>'PRESUPUESTO DE GASTOS'!S33</f>
        <v>280</v>
      </c>
      <c r="T11" s="286">
        <f>'PRESUPUESTO DE GASTOS'!T33</f>
        <v>280</v>
      </c>
      <c r="U11" s="286">
        <f>'PRESUPUESTO DE GASTOS'!U33</f>
        <v>280</v>
      </c>
      <c r="V11" s="286">
        <f>'PRESUPUESTO DE GASTOS'!V33</f>
        <v>280</v>
      </c>
      <c r="W11" s="286">
        <f>'PRESUPUESTO DE GASTOS'!W33</f>
        <v>280</v>
      </c>
      <c r="X11" s="286">
        <f>'PRESUPUESTO DE GASTOS'!X33</f>
        <v>280</v>
      </c>
      <c r="Y11" s="286">
        <f>'PRESUPUESTO DE GASTOS'!Y33</f>
        <v>280</v>
      </c>
    </row>
    <row r="12" spans="1:25" ht="12" customHeight="1" x14ac:dyDescent="0.3">
      <c r="A12" s="59" t="s">
        <v>184</v>
      </c>
      <c r="B12" s="288">
        <f>+B9-B10-B11</f>
        <v>29078.400000000001</v>
      </c>
      <c r="C12" s="288">
        <f t="shared" ref="C12:Y12" si="4">+C9-C10-C11</f>
        <v>29078.400000000001</v>
      </c>
      <c r="D12" s="288">
        <f t="shared" si="4"/>
        <v>29078.400000000001</v>
      </c>
      <c r="E12" s="288">
        <f t="shared" si="4"/>
        <v>11672.2</v>
      </c>
      <c r="F12" s="288">
        <f t="shared" si="4"/>
        <v>29078.400000000001</v>
      </c>
      <c r="G12" s="288">
        <f t="shared" si="4"/>
        <v>11672.2</v>
      </c>
      <c r="H12" s="288">
        <f t="shared" si="4"/>
        <v>28097.4</v>
      </c>
      <c r="I12" s="288">
        <f t="shared" si="4"/>
        <v>29078.400000000001</v>
      </c>
      <c r="J12" s="288">
        <f t="shared" si="4"/>
        <v>29078.400000000001</v>
      </c>
      <c r="K12" s="288">
        <f t="shared" si="4"/>
        <v>29078.400000000001</v>
      </c>
      <c r="L12" s="288">
        <f t="shared" si="4"/>
        <v>29078.400000000001</v>
      </c>
      <c r="M12" s="288">
        <f t="shared" si="4"/>
        <v>28097.4</v>
      </c>
      <c r="N12" s="288">
        <f t="shared" si="4"/>
        <v>29078.400000000001</v>
      </c>
      <c r="O12" s="288">
        <f t="shared" si="4"/>
        <v>29078.400000000001</v>
      </c>
      <c r="P12" s="288">
        <f t="shared" si="4"/>
        <v>29078.400000000001</v>
      </c>
      <c r="Q12" s="288">
        <f t="shared" si="4"/>
        <v>29078.400000000001</v>
      </c>
      <c r="R12" s="288">
        <f t="shared" si="4"/>
        <v>29078.400000000001</v>
      </c>
      <c r="S12" s="288">
        <f t="shared" si="4"/>
        <v>29078.400000000001</v>
      </c>
      <c r="T12" s="288">
        <f t="shared" si="4"/>
        <v>28097.4</v>
      </c>
      <c r="U12" s="288">
        <f t="shared" si="4"/>
        <v>29078.400000000001</v>
      </c>
      <c r="V12" s="288">
        <f t="shared" si="4"/>
        <v>29078.400000000001</v>
      </c>
      <c r="W12" s="288">
        <f t="shared" si="4"/>
        <v>29078.400000000001</v>
      </c>
      <c r="X12" s="288">
        <f t="shared" si="4"/>
        <v>29078.400000000001</v>
      </c>
      <c r="Y12" s="288">
        <f t="shared" si="4"/>
        <v>28097.4</v>
      </c>
    </row>
    <row r="13" spans="1:25" ht="12" customHeight="1" x14ac:dyDescent="0.25">
      <c r="A13" s="60" t="s">
        <v>185</v>
      </c>
      <c r="B13" s="286">
        <f>'AMORTIZACION DE CREDITO'!E16</f>
        <v>1437.6479999999999</v>
      </c>
      <c r="C13" s="286">
        <f>'AMORTIZACION DE CREDITO'!E17</f>
        <v>1395.8880405557952</v>
      </c>
      <c r="D13" s="286">
        <f>'AMORTIZACION DE CREDITO'!E18</f>
        <v>1352.8752823282643</v>
      </c>
      <c r="E13" s="286">
        <f>'AMORTIZACION DE CREDITO'!E19</f>
        <v>1308.5721413539079</v>
      </c>
      <c r="F13" s="286">
        <f>'AMORTIZACION DE CREDITO'!E20</f>
        <v>1262.9399061503204</v>
      </c>
      <c r="G13" s="286">
        <f>'AMORTIZACION DE CREDITO'!E21</f>
        <v>1215.9387038906254</v>
      </c>
      <c r="H13" s="286">
        <f>'AMORTIZACION DE CREDITO'!E22</f>
        <v>1167.5274655631395</v>
      </c>
      <c r="I13" s="286">
        <f>'AMORTIZACION DE CREDITO'!E23</f>
        <v>1117.6638900858291</v>
      </c>
      <c r="J13" s="286">
        <f>'AMORTIZACION DE CREDITO'!E24</f>
        <v>1066.3044073441993</v>
      </c>
      <c r="K13" s="286">
        <f>'AMORTIZACION DE CREDITO'!E25</f>
        <v>1013.4041401203203</v>
      </c>
      <c r="L13" s="286">
        <f>'AMORTIZACION DE CREDITO'!E26</f>
        <v>958.91686487972538</v>
      </c>
      <c r="M13" s="286">
        <f>'AMORTIZACION DE CREDITO'!E27</f>
        <v>902.79497138191232</v>
      </c>
      <c r="N13" s="286">
        <f>'AMORTIZACION DE CREDITO'!E28</f>
        <v>844.98942107916491</v>
      </c>
      <c r="O13" s="286">
        <f>'AMORTIZACION DE CREDITO'!E29</f>
        <v>785.44970426733539</v>
      </c>
      <c r="P13" s="286">
        <f>'AMORTIZACION DE CREDITO'!E30</f>
        <v>724.1237959511509</v>
      </c>
      <c r="Q13" s="286">
        <f>'AMORTIZACION DE CREDITO'!E31</f>
        <v>660.95811038548072</v>
      </c>
      <c r="R13" s="286">
        <f>'AMORTIZACION DE CREDITO'!E32</f>
        <v>595.89745425284036</v>
      </c>
      <c r="S13" s="286">
        <f>'AMORTIZACION DE CREDITO'!E33</f>
        <v>528.88497843622099</v>
      </c>
      <c r="T13" s="286">
        <f>'AMORTIZACION DE CREDITO'!E34</f>
        <v>459.86212834510297</v>
      </c>
      <c r="U13" s="286">
        <f>'AMORTIZACION DE CREDITO'!E35</f>
        <v>388.76859275125116</v>
      </c>
      <c r="V13" s="286">
        <f>'AMORTIZACION DE CREDITO'!E36</f>
        <v>315.54225108958417</v>
      </c>
      <c r="W13" s="286">
        <f>'AMORTIZACION DE CREDITO'!E37</f>
        <v>240.11911917806719</v>
      </c>
      <c r="X13" s="286">
        <f>'AMORTIZACION DE CREDITO'!E38</f>
        <v>162.43329330920415</v>
      </c>
      <c r="Y13" s="286">
        <f>'AMORTIZACION DE CREDITO'!E39</f>
        <v>82.416892664275565</v>
      </c>
    </row>
    <row r="14" spans="1:25" ht="12" customHeight="1" x14ac:dyDescent="0.25">
      <c r="A14" s="60" t="s">
        <v>186</v>
      </c>
      <c r="B14" s="286">
        <f>'PRESUPUESTO DE GASTOS'!B40</f>
        <v>124.06916666666667</v>
      </c>
      <c r="C14" s="286">
        <f>'PRESUPUESTO DE GASTOS'!C40</f>
        <v>124.06916666666667</v>
      </c>
      <c r="D14" s="286">
        <f>'PRESUPUESTO DE GASTOS'!D40</f>
        <v>124.06916666666667</v>
      </c>
      <c r="E14" s="286">
        <f>'PRESUPUESTO DE GASTOS'!E40</f>
        <v>124.06916666666667</v>
      </c>
      <c r="F14" s="286">
        <f>'PRESUPUESTO DE GASTOS'!F40</f>
        <v>124.06916666666667</v>
      </c>
      <c r="G14" s="286">
        <f>'PRESUPUESTO DE GASTOS'!G40</f>
        <v>124.06916666666667</v>
      </c>
      <c r="H14" s="286">
        <f>'PRESUPUESTO DE GASTOS'!H40</f>
        <v>124.06916666666667</v>
      </c>
      <c r="I14" s="286">
        <f>'PRESUPUESTO DE GASTOS'!I40</f>
        <v>124.06916666666667</v>
      </c>
      <c r="J14" s="286">
        <f>'PRESUPUESTO DE GASTOS'!J40</f>
        <v>124.06916666666667</v>
      </c>
      <c r="K14" s="286">
        <f>'PRESUPUESTO DE GASTOS'!K40</f>
        <v>124.06916666666667</v>
      </c>
      <c r="L14" s="286">
        <f>'PRESUPUESTO DE GASTOS'!L40</f>
        <v>124.06916666666667</v>
      </c>
      <c r="M14" s="286">
        <f>'PRESUPUESTO DE GASTOS'!M40</f>
        <v>124.06916666666667</v>
      </c>
      <c r="N14" s="286">
        <f>'PRESUPUESTO DE GASTOS'!N40</f>
        <v>124.06916666666667</v>
      </c>
      <c r="O14" s="286">
        <f>'PRESUPUESTO DE GASTOS'!O40</f>
        <v>124.06916666666667</v>
      </c>
      <c r="P14" s="286">
        <f>'PRESUPUESTO DE GASTOS'!P40</f>
        <v>124.06916666666667</v>
      </c>
      <c r="Q14" s="286">
        <f>'PRESUPUESTO DE GASTOS'!Q40</f>
        <v>124.06916666666667</v>
      </c>
      <c r="R14" s="286">
        <f>'PRESUPUESTO DE GASTOS'!R40</f>
        <v>124.06916666666667</v>
      </c>
      <c r="S14" s="286">
        <f>'PRESUPUESTO DE GASTOS'!S40</f>
        <v>124.06916666666667</v>
      </c>
      <c r="T14" s="286">
        <f>'PRESUPUESTO DE GASTOS'!T40</f>
        <v>124.06916666666667</v>
      </c>
      <c r="U14" s="286">
        <f>'PRESUPUESTO DE GASTOS'!U40</f>
        <v>124.06916666666667</v>
      </c>
      <c r="V14" s="286">
        <f>'PRESUPUESTO DE GASTOS'!V40</f>
        <v>124.06916666666667</v>
      </c>
      <c r="W14" s="286">
        <f>'PRESUPUESTO DE GASTOS'!W40</f>
        <v>124.06916666666667</v>
      </c>
      <c r="X14" s="286">
        <f>'PRESUPUESTO DE GASTOS'!X40</f>
        <v>124.06916666666667</v>
      </c>
      <c r="Y14" s="286">
        <f>'PRESUPUESTO DE GASTOS'!Y40</f>
        <v>124.06916666666667</v>
      </c>
    </row>
    <row r="15" spans="1:25" ht="12" customHeight="1" x14ac:dyDescent="0.3">
      <c r="A15" s="287" t="s">
        <v>187</v>
      </c>
      <c r="B15" s="288">
        <f>+B12-B13-B14</f>
        <v>27516.682833333332</v>
      </c>
      <c r="C15" s="288">
        <f t="shared" ref="C15:Y15" si="5">+C12-C13-C14</f>
        <v>27558.44279277754</v>
      </c>
      <c r="D15" s="288">
        <f t="shared" si="5"/>
        <v>27601.45555100507</v>
      </c>
      <c r="E15" s="288">
        <f t="shared" si="5"/>
        <v>10239.558691979426</v>
      </c>
      <c r="F15" s="288">
        <f t="shared" si="5"/>
        <v>27691.390927183013</v>
      </c>
      <c r="G15" s="288">
        <f t="shared" si="5"/>
        <v>10332.192129442708</v>
      </c>
      <c r="H15" s="288">
        <f t="shared" si="5"/>
        <v>26805.803367770193</v>
      </c>
      <c r="I15" s="288">
        <f t="shared" si="5"/>
        <v>27836.666943247503</v>
      </c>
      <c r="J15" s="288">
        <f t="shared" si="5"/>
        <v>27888.026425989134</v>
      </c>
      <c r="K15" s="288">
        <f t="shared" si="5"/>
        <v>27940.926693213012</v>
      </c>
      <c r="L15" s="288">
        <f t="shared" si="5"/>
        <v>27995.413968453609</v>
      </c>
      <c r="M15" s="288">
        <f t="shared" si="5"/>
        <v>27070.535861951423</v>
      </c>
      <c r="N15" s="288">
        <f t="shared" si="5"/>
        <v>28109.341412254169</v>
      </c>
      <c r="O15" s="288">
        <f t="shared" si="5"/>
        <v>28168.881129065998</v>
      </c>
      <c r="P15" s="288">
        <f t="shared" si="5"/>
        <v>28230.207037382184</v>
      </c>
      <c r="Q15" s="288">
        <f t="shared" si="5"/>
        <v>28293.372722947854</v>
      </c>
      <c r="R15" s="288">
        <f t="shared" si="5"/>
        <v>28358.433379080492</v>
      </c>
      <c r="S15" s="288">
        <f t="shared" si="5"/>
        <v>28425.445854897112</v>
      </c>
      <c r="T15" s="288">
        <f t="shared" si="5"/>
        <v>27513.46870498823</v>
      </c>
      <c r="U15" s="288">
        <f t="shared" si="5"/>
        <v>28565.562240582083</v>
      </c>
      <c r="V15" s="288">
        <f t="shared" si="5"/>
        <v>28638.788582243749</v>
      </c>
      <c r="W15" s="288">
        <f t="shared" si="5"/>
        <v>28714.211714155266</v>
      </c>
      <c r="X15" s="288">
        <f t="shared" si="5"/>
        <v>28791.897540024129</v>
      </c>
      <c r="Y15" s="288">
        <f t="shared" si="5"/>
        <v>27890.913940669059</v>
      </c>
    </row>
    <row r="16" spans="1:25" ht="12" customHeight="1" x14ac:dyDescent="0.25">
      <c r="A16" s="58" t="s">
        <v>188</v>
      </c>
      <c r="B16" s="286">
        <f>IF(B15&gt;1,B15*0.3,0)</f>
        <v>8255.0048499999994</v>
      </c>
      <c r="C16" s="286">
        <f t="shared" ref="C16:Y16" si="6">IF(C15&gt;1,C15*0.3,0)</f>
        <v>8267.5328378332615</v>
      </c>
      <c r="D16" s="286">
        <f t="shared" si="6"/>
        <v>8280.4366653015204</v>
      </c>
      <c r="E16" s="286">
        <f t="shared" si="6"/>
        <v>3071.8676075938279</v>
      </c>
      <c r="F16" s="286">
        <f t="shared" si="6"/>
        <v>8307.4172781549041</v>
      </c>
      <c r="G16" s="286">
        <f t="shared" si="6"/>
        <v>3099.6576388328126</v>
      </c>
      <c r="H16" s="286">
        <f t="shared" si="6"/>
        <v>8041.7410103310576</v>
      </c>
      <c r="I16" s="286">
        <f t="shared" si="6"/>
        <v>8351.0000829742512</v>
      </c>
      <c r="J16" s="286">
        <f t="shared" si="6"/>
        <v>8366.4079277967394</v>
      </c>
      <c r="K16" s="286">
        <f t="shared" si="6"/>
        <v>8382.2780079639033</v>
      </c>
      <c r="L16" s="286">
        <f t="shared" si="6"/>
        <v>8398.6241905360821</v>
      </c>
      <c r="M16" s="286">
        <f t="shared" si="6"/>
        <v>8121.1607585854263</v>
      </c>
      <c r="N16" s="286">
        <f t="shared" si="6"/>
        <v>8432.8024236762503</v>
      </c>
      <c r="O16" s="286">
        <f t="shared" si="6"/>
        <v>8450.6643387197983</v>
      </c>
      <c r="P16" s="286">
        <f t="shared" si="6"/>
        <v>8469.0621112146546</v>
      </c>
      <c r="Q16" s="286">
        <f t="shared" si="6"/>
        <v>8488.0118168843564</v>
      </c>
      <c r="R16" s="286">
        <f t="shared" si="6"/>
        <v>8507.5300137241466</v>
      </c>
      <c r="S16" s="286">
        <f t="shared" si="6"/>
        <v>8527.633756469133</v>
      </c>
      <c r="T16" s="286">
        <f t="shared" si="6"/>
        <v>8254.040611496468</v>
      </c>
      <c r="U16" s="286">
        <f t="shared" si="6"/>
        <v>8569.6686721746246</v>
      </c>
      <c r="V16" s="286">
        <f t="shared" si="6"/>
        <v>8591.6365746731244</v>
      </c>
      <c r="W16" s="286">
        <f t="shared" si="6"/>
        <v>8614.2635142465788</v>
      </c>
      <c r="X16" s="286">
        <f t="shared" si="6"/>
        <v>8637.5692620072386</v>
      </c>
      <c r="Y16" s="286">
        <f t="shared" si="6"/>
        <v>8367.2741822007174</v>
      </c>
    </row>
    <row r="17" spans="1:25" ht="12" customHeight="1" x14ac:dyDescent="0.3">
      <c r="A17" s="278" t="s">
        <v>189</v>
      </c>
      <c r="B17" s="279">
        <f>B15-B16</f>
        <v>19261.677983333335</v>
      </c>
      <c r="C17" s="279">
        <f t="shared" ref="C17:Y17" si="7">C15-C16</f>
        <v>19290.909954944276</v>
      </c>
      <c r="D17" s="279">
        <f t="shared" si="7"/>
        <v>19321.01888570355</v>
      </c>
      <c r="E17" s="279">
        <f t="shared" si="7"/>
        <v>7167.6910843855985</v>
      </c>
      <c r="F17" s="279">
        <f t="shared" si="7"/>
        <v>19383.973649028107</v>
      </c>
      <c r="G17" s="279">
        <f t="shared" si="7"/>
        <v>7232.5344906098962</v>
      </c>
      <c r="H17" s="279">
        <f t="shared" si="7"/>
        <v>18764.062357439136</v>
      </c>
      <c r="I17" s="279">
        <f t="shared" si="7"/>
        <v>19485.666860273253</v>
      </c>
      <c r="J17" s="279">
        <f t="shared" si="7"/>
        <v>19521.618498192394</v>
      </c>
      <c r="K17" s="279">
        <f t="shared" si="7"/>
        <v>19558.648685249107</v>
      </c>
      <c r="L17" s="279">
        <f t="shared" si="7"/>
        <v>19596.789777917525</v>
      </c>
      <c r="M17" s="279">
        <f t="shared" si="7"/>
        <v>18949.375103365997</v>
      </c>
      <c r="N17" s="279">
        <f t="shared" si="7"/>
        <v>19676.538988577919</v>
      </c>
      <c r="O17" s="279">
        <f t="shared" si="7"/>
        <v>19718.2167903462</v>
      </c>
      <c r="P17" s="279">
        <f t="shared" si="7"/>
        <v>19761.14492616753</v>
      </c>
      <c r="Q17" s="279">
        <f t="shared" si="7"/>
        <v>19805.360906063499</v>
      </c>
      <c r="R17" s="279">
        <f t="shared" si="7"/>
        <v>19850.903365356346</v>
      </c>
      <c r="S17" s="279">
        <f t="shared" si="7"/>
        <v>19897.812098427981</v>
      </c>
      <c r="T17" s="279">
        <f t="shared" si="7"/>
        <v>19259.428093491762</v>
      </c>
      <c r="U17" s="279">
        <f t="shared" si="7"/>
        <v>19995.89356840746</v>
      </c>
      <c r="V17" s="279">
        <f t="shared" si="7"/>
        <v>20047.152007570625</v>
      </c>
      <c r="W17" s="279">
        <f t="shared" si="7"/>
        <v>20099.948199908686</v>
      </c>
      <c r="X17" s="279">
        <f t="shared" si="7"/>
        <v>20154.328278016888</v>
      </c>
      <c r="Y17" s="279">
        <f t="shared" si="7"/>
        <v>19523.639758468344</v>
      </c>
    </row>
    <row r="18" spans="1:25" ht="12" customHeight="1" x14ac:dyDescent="0.3">
      <c r="A18" s="59"/>
      <c r="B18" s="322">
        <f>B17</f>
        <v>19261.677983333335</v>
      </c>
      <c r="C18" s="322">
        <f>B18+C17</f>
        <v>38552.587938277611</v>
      </c>
      <c r="D18" s="322">
        <f t="shared" ref="D18:Y18" si="8">C18+D17</f>
        <v>57873.606823981158</v>
      </c>
      <c r="E18" s="322">
        <f t="shared" si="8"/>
        <v>65041.29790836676</v>
      </c>
      <c r="F18" s="322">
        <f t="shared" si="8"/>
        <v>84425.271557394866</v>
      </c>
      <c r="G18" s="322">
        <f t="shared" si="8"/>
        <v>91657.806048004757</v>
      </c>
      <c r="H18" s="322">
        <f t="shared" si="8"/>
        <v>110421.86840544389</v>
      </c>
      <c r="I18" s="322">
        <f t="shared" si="8"/>
        <v>129907.53526571715</v>
      </c>
      <c r="J18" s="322">
        <f t="shared" si="8"/>
        <v>149429.15376390953</v>
      </c>
      <c r="K18" s="322">
        <f t="shared" si="8"/>
        <v>168987.80244915863</v>
      </c>
      <c r="L18" s="322">
        <f t="shared" si="8"/>
        <v>188584.59222707615</v>
      </c>
      <c r="M18" s="322">
        <f t="shared" si="8"/>
        <v>207533.96733044216</v>
      </c>
      <c r="N18" s="322">
        <f t="shared" si="8"/>
        <v>227210.50631902009</v>
      </c>
      <c r="O18" s="322">
        <f t="shared" si="8"/>
        <v>246928.72310936628</v>
      </c>
      <c r="P18" s="322">
        <f t="shared" si="8"/>
        <v>266689.86803553381</v>
      </c>
      <c r="Q18" s="322">
        <f t="shared" si="8"/>
        <v>286495.22894159734</v>
      </c>
      <c r="R18" s="322">
        <f t="shared" si="8"/>
        <v>306346.13230695366</v>
      </c>
      <c r="S18" s="322">
        <f t="shared" si="8"/>
        <v>326243.94440538163</v>
      </c>
      <c r="T18" s="322">
        <f t="shared" si="8"/>
        <v>345503.37249887339</v>
      </c>
      <c r="U18" s="322">
        <f t="shared" si="8"/>
        <v>365499.26606728084</v>
      </c>
      <c r="V18" s="322">
        <f t="shared" si="8"/>
        <v>385546.41807485145</v>
      </c>
      <c r="W18" s="322">
        <f t="shared" si="8"/>
        <v>405646.3662747601</v>
      </c>
      <c r="X18" s="322">
        <f t="shared" si="8"/>
        <v>425800.69455277699</v>
      </c>
      <c r="Y18" s="322">
        <f t="shared" si="8"/>
        <v>445324.33431124536</v>
      </c>
    </row>
    <row r="19" spans="1:25" ht="40.5" x14ac:dyDescent="0.3">
      <c r="A19" s="337" t="s">
        <v>190</v>
      </c>
      <c r="B19" s="203">
        <f>B17/B4*100</f>
        <v>28.783141039051607</v>
      </c>
      <c r="C19" s="203">
        <f t="shared" ref="C19:Y19" si="9">C17/C4*100</f>
        <v>28.826823004997426</v>
      </c>
      <c r="D19" s="203">
        <f t="shared" si="9"/>
        <v>28.871815429921622</v>
      </c>
      <c r="E19" s="203">
        <f t="shared" si="9"/>
        <v>21.421670903722649</v>
      </c>
      <c r="F19" s="203">
        <f t="shared" si="9"/>
        <v>28.965890091195618</v>
      </c>
      <c r="G19" s="203">
        <f t="shared" si="9"/>
        <v>21.61546470594709</v>
      </c>
      <c r="H19" s="203">
        <f t="shared" si="9"/>
        <v>28.039543271726142</v>
      </c>
      <c r="I19" s="203">
        <f t="shared" si="9"/>
        <v>29.117852451095715</v>
      </c>
      <c r="J19" s="203">
        <f t="shared" si="9"/>
        <v>29.171575759402863</v>
      </c>
      <c r="K19" s="203">
        <f t="shared" si="9"/>
        <v>29.226910766959215</v>
      </c>
      <c r="L19" s="203">
        <f t="shared" si="9"/>
        <v>29.283905824742266</v>
      </c>
      <c r="M19" s="203">
        <f t="shared" si="9"/>
        <v>28.316460106643749</v>
      </c>
      <c r="N19" s="203">
        <f t="shared" si="9"/>
        <v>29.403076791060844</v>
      </c>
      <c r="O19" s="203">
        <f t="shared" si="9"/>
        <v>29.465356829566947</v>
      </c>
      <c r="P19" s="203">
        <f t="shared" si="9"/>
        <v>29.529505269228228</v>
      </c>
      <c r="Q19" s="203">
        <f t="shared" si="9"/>
        <v>29.595578162079345</v>
      </c>
      <c r="R19" s="203">
        <f t="shared" si="9"/>
        <v>29.663633241715999</v>
      </c>
      <c r="S19" s="203">
        <f t="shared" si="9"/>
        <v>29.733729973741752</v>
      </c>
      <c r="T19" s="203">
        <f t="shared" si="9"/>
        <v>28.779778980113214</v>
      </c>
      <c r="U19" s="203">
        <f t="shared" si="9"/>
        <v>29.880295230734401</v>
      </c>
      <c r="V19" s="203">
        <f t="shared" si="9"/>
        <v>29.956891822430698</v>
      </c>
      <c r="W19" s="203">
        <f t="shared" si="9"/>
        <v>30.035786311877892</v>
      </c>
      <c r="X19" s="203">
        <f t="shared" si="9"/>
        <v>30.117047636008497</v>
      </c>
      <c r="Y19" s="203">
        <f t="shared" si="9"/>
        <v>29.174596172247973</v>
      </c>
    </row>
    <row r="20" spans="1:25" ht="12" customHeight="1" x14ac:dyDescent="0.25"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25" ht="12" customHeight="1" x14ac:dyDescent="0.25"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25" ht="12" customHeight="1" x14ac:dyDescent="0.25"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25" ht="12" customHeight="1" x14ac:dyDescent="0.25">
      <c r="A23" s="3"/>
      <c r="B23" s="132"/>
      <c r="C23" s="131"/>
      <c r="D23" s="132"/>
      <c r="E23" s="131"/>
      <c r="F23" s="131"/>
      <c r="G23" s="131"/>
      <c r="H23" s="131"/>
      <c r="I23" s="131"/>
      <c r="J23" s="131"/>
      <c r="K23" s="131"/>
    </row>
    <row r="24" spans="1:25" ht="12" customHeight="1" x14ac:dyDescent="0.25">
      <c r="A24" s="3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25" ht="12" customHeight="1" x14ac:dyDescent="0.25"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25" ht="12" customHeight="1" x14ac:dyDescent="0.25"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25" ht="12" customHeight="1" x14ac:dyDescent="0.25">
      <c r="A27" s="364"/>
      <c r="B27" s="364"/>
      <c r="C27" s="364"/>
      <c r="D27" s="364"/>
      <c r="E27" s="364"/>
      <c r="F27" s="364"/>
      <c r="G27" s="364"/>
      <c r="H27" s="131"/>
      <c r="I27" s="131"/>
      <c r="J27" s="131"/>
      <c r="K27" s="131"/>
    </row>
    <row r="28" spans="1:25" ht="12" customHeight="1" x14ac:dyDescent="0.25">
      <c r="A28" s="364"/>
      <c r="B28" s="364"/>
      <c r="C28" s="364"/>
      <c r="D28" s="364"/>
      <c r="E28" s="364"/>
      <c r="F28" s="364"/>
      <c r="G28" s="364"/>
      <c r="H28" s="3"/>
      <c r="I28" s="3"/>
      <c r="J28" s="3"/>
      <c r="K28" s="131"/>
    </row>
    <row r="29" spans="1:25" ht="12" customHeight="1" x14ac:dyDescent="0.25">
      <c r="A29" s="364"/>
      <c r="B29" s="364"/>
      <c r="C29" s="364"/>
      <c r="D29" s="364"/>
      <c r="E29" s="364"/>
      <c r="F29" s="364"/>
      <c r="G29" s="364"/>
      <c r="H29" s="3"/>
      <c r="I29" s="3"/>
      <c r="J29" s="3"/>
      <c r="K29" s="131"/>
    </row>
    <row r="30" spans="1:25" ht="12" customHeight="1" x14ac:dyDescent="0.25">
      <c r="A30" s="364"/>
      <c r="B30" s="364"/>
      <c r="C30" s="364"/>
      <c r="D30" s="364"/>
      <c r="E30" s="364"/>
      <c r="F30" s="364"/>
      <c r="G30" s="364"/>
      <c r="H30" s="3"/>
      <c r="I30" s="3"/>
      <c r="J30" s="3"/>
      <c r="K30" s="131"/>
    </row>
    <row r="31" spans="1:25" ht="12" customHeight="1" x14ac:dyDescent="0.25">
      <c r="A31" s="364"/>
      <c r="B31" s="364"/>
      <c r="C31" s="364"/>
      <c r="D31" s="364"/>
      <c r="E31" s="364"/>
      <c r="F31" s="364"/>
      <c r="G31" s="364"/>
      <c r="H31" s="3"/>
      <c r="I31" s="3"/>
      <c r="J31" s="3"/>
      <c r="K31" s="131"/>
    </row>
    <row r="32" spans="1:25" ht="12" customHeight="1" x14ac:dyDescent="0.25">
      <c r="A32" s="364"/>
      <c r="B32" s="364"/>
      <c r="C32" s="364"/>
      <c r="D32" s="364"/>
      <c r="E32" s="364"/>
      <c r="F32" s="364"/>
      <c r="G32" s="364"/>
      <c r="H32" s="3"/>
      <c r="I32" s="3"/>
      <c r="J32" s="3"/>
      <c r="K32" s="131"/>
    </row>
    <row r="33" spans="1:12" ht="12" customHeight="1" x14ac:dyDescent="0.25">
      <c r="A33" s="364"/>
      <c r="B33" s="364"/>
      <c r="C33" s="364"/>
      <c r="D33" s="364"/>
      <c r="E33" s="364"/>
      <c r="F33" s="364"/>
      <c r="G33" s="364"/>
      <c r="H33" s="3"/>
      <c r="I33" s="3"/>
      <c r="J33" s="3"/>
      <c r="K33" s="131"/>
    </row>
    <row r="34" spans="1:12" ht="12" customHeight="1" x14ac:dyDescent="0.25">
      <c r="A34" s="364"/>
      <c r="B34" s="364"/>
      <c r="C34" s="364"/>
      <c r="D34" s="364"/>
      <c r="E34" s="364"/>
      <c r="F34" s="364"/>
      <c r="G34" s="364"/>
      <c r="H34" s="3"/>
      <c r="I34" s="3"/>
      <c r="J34" s="3"/>
      <c r="K34" s="131"/>
    </row>
    <row r="35" spans="1:12" ht="12" customHeight="1" x14ac:dyDescent="0.25">
      <c r="A35" s="364"/>
      <c r="B35" s="365"/>
      <c r="C35" s="365"/>
      <c r="D35" s="365"/>
      <c r="E35" s="365"/>
      <c r="F35" s="365"/>
      <c r="G35" s="365"/>
      <c r="H35" s="336"/>
      <c r="I35" s="336"/>
      <c r="J35" s="3"/>
      <c r="K35" s="131"/>
    </row>
    <row r="36" spans="1:12" ht="12" customHeight="1" x14ac:dyDescent="0.25">
      <c r="A36" s="364"/>
      <c r="B36" s="364"/>
      <c r="C36" s="364"/>
      <c r="D36" s="364"/>
      <c r="E36" s="364"/>
      <c r="F36" s="364"/>
      <c r="G36" s="364"/>
      <c r="H36" s="3"/>
      <c r="I36" s="3"/>
      <c r="J36" s="3"/>
      <c r="K36" s="131"/>
    </row>
    <row r="37" spans="1:12" ht="12" customHeight="1" x14ac:dyDescent="0.25">
      <c r="A37" s="364"/>
      <c r="B37" s="364"/>
      <c r="C37" s="364"/>
      <c r="D37" s="364"/>
      <c r="E37" s="364"/>
      <c r="F37" s="364"/>
      <c r="G37" s="364"/>
    </row>
    <row r="38" spans="1:12" ht="12" customHeight="1" x14ac:dyDescent="0.25">
      <c r="A38" s="364"/>
      <c r="B38" s="366">
        <v>6548.33</v>
      </c>
      <c r="C38" s="366">
        <v>9074.69</v>
      </c>
      <c r="D38" s="366">
        <v>11573.45</v>
      </c>
      <c r="E38" s="366">
        <v>10052.23</v>
      </c>
      <c r="F38" s="366">
        <v>8507.76</v>
      </c>
      <c r="G38" s="366">
        <v>10897.5</v>
      </c>
      <c r="H38" s="367">
        <v>13280.56</v>
      </c>
      <c r="I38" s="367">
        <v>11682.79</v>
      </c>
    </row>
    <row r="39" spans="1:12" ht="12" customHeight="1" x14ac:dyDescent="0.25">
      <c r="A39" s="364"/>
      <c r="B39" s="364"/>
      <c r="C39" s="364"/>
      <c r="D39" s="364"/>
      <c r="E39" s="364"/>
      <c r="F39" s="364"/>
      <c r="G39" s="364"/>
      <c r="H39" s="3"/>
      <c r="I39" s="3"/>
      <c r="J39" s="131"/>
      <c r="K39" s="131"/>
      <c r="L39" s="131"/>
    </row>
    <row r="40" spans="1:12" ht="12" customHeight="1" x14ac:dyDescent="0.25">
      <c r="A40" s="364"/>
      <c r="B40" s="364"/>
      <c r="C40" s="364"/>
      <c r="D40" s="364"/>
      <c r="E40" s="364"/>
      <c r="F40" s="364"/>
      <c r="G40" s="364"/>
      <c r="H40" s="3"/>
      <c r="I40" s="3"/>
      <c r="J40" s="131"/>
      <c r="K40" s="131"/>
      <c r="L40" s="131"/>
    </row>
    <row r="41" spans="1:12" ht="12" customHeight="1" x14ac:dyDescent="0.25">
      <c r="A41" s="364"/>
      <c r="B41" s="364"/>
      <c r="C41" s="364"/>
      <c r="D41" s="364"/>
      <c r="E41" s="364"/>
      <c r="F41" s="364"/>
      <c r="G41" s="364"/>
      <c r="H41" s="3"/>
      <c r="I41" s="3"/>
      <c r="J41" s="131"/>
      <c r="K41" s="131"/>
      <c r="L41" s="131"/>
    </row>
    <row r="42" spans="1:12" ht="12" customHeight="1" x14ac:dyDescent="0.25">
      <c r="A42" s="364"/>
      <c r="B42" s="364"/>
      <c r="C42" s="364"/>
      <c r="D42" s="364"/>
      <c r="E42" s="364"/>
      <c r="F42" s="364"/>
      <c r="G42" s="364"/>
      <c r="H42" s="3"/>
      <c r="I42" s="3"/>
      <c r="J42" s="131"/>
      <c r="K42" s="131"/>
      <c r="L42" s="131"/>
    </row>
    <row r="43" spans="1:12" ht="12" customHeight="1" x14ac:dyDescent="0.25">
      <c r="A43" s="364"/>
      <c r="B43" s="364"/>
      <c r="C43" s="364"/>
      <c r="D43" s="364"/>
      <c r="E43" s="364"/>
      <c r="F43" s="364"/>
      <c r="G43" s="364"/>
      <c r="H43" s="3"/>
      <c r="I43" s="3"/>
      <c r="J43" s="131"/>
      <c r="K43" s="131"/>
      <c r="L43" s="131"/>
    </row>
    <row r="44" spans="1:12" ht="12" customHeight="1" x14ac:dyDescent="0.25">
      <c r="A44" s="364"/>
      <c r="B44" s="364"/>
      <c r="C44" s="364"/>
      <c r="D44" s="364"/>
      <c r="E44" s="364"/>
      <c r="F44" s="364"/>
      <c r="G44" s="364"/>
      <c r="H44" s="131"/>
      <c r="I44" s="131"/>
      <c r="J44" s="131"/>
      <c r="K44" s="131"/>
      <c r="L44" s="131"/>
    </row>
    <row r="45" spans="1:12" ht="12" customHeight="1" x14ac:dyDescent="0.25">
      <c r="A45" s="364"/>
      <c r="B45" s="364"/>
      <c r="C45" s="364"/>
      <c r="D45" s="364"/>
      <c r="E45" s="364"/>
      <c r="F45" s="364"/>
      <c r="G45" s="364"/>
      <c r="H45" s="131"/>
      <c r="I45" s="131"/>
      <c r="J45" s="131"/>
      <c r="K45" s="131"/>
      <c r="L45" s="131"/>
    </row>
    <row r="46" spans="1:12" ht="12" customHeight="1" x14ac:dyDescent="0.25">
      <c r="A46" s="364"/>
      <c r="B46" s="364"/>
      <c r="C46" s="364"/>
      <c r="D46" s="364"/>
      <c r="E46" s="364"/>
      <c r="F46" s="364"/>
      <c r="G46" s="364"/>
      <c r="H46" s="131"/>
      <c r="I46" s="131"/>
      <c r="J46" s="131"/>
      <c r="K46" s="131"/>
      <c r="L46" s="131"/>
    </row>
    <row r="47" spans="1:12" ht="12" customHeight="1" x14ac:dyDescent="0.2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ht="12" customHeight="1" x14ac:dyDescent="0.2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2:12" ht="12" customHeight="1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2:12" ht="12" customHeight="1" x14ac:dyDescent="0.2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2:12" ht="12" customHeight="1" x14ac:dyDescent="0.25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INVERSION TOTAL</vt:lpstr>
      <vt:lpstr>FINANCIAMIENTO</vt:lpstr>
      <vt:lpstr>AMORTIZACION DE CREDITO</vt:lpstr>
      <vt:lpstr>INGRESO POR VENTAS</vt:lpstr>
      <vt:lpstr>PLANILLA DE EMPLEADOS</vt:lpstr>
      <vt:lpstr>GASTOS INDIRECTOS</vt:lpstr>
      <vt:lpstr>DEPRECIACION</vt:lpstr>
      <vt:lpstr>PRESUPUESTO DE GASTOS</vt:lpstr>
      <vt:lpstr>ESTADO DE GANACIAS Y PERDIDAS</vt:lpstr>
      <vt:lpstr>BALANCE GENERAL</vt:lpstr>
      <vt:lpstr>FLUJO DE CAJA ECON FINANCI</vt:lpstr>
      <vt:lpstr>COSTO BENEFICIO</vt:lpstr>
      <vt:lpstr>INSUMOS DE PREPARACION</vt:lpstr>
      <vt:lpstr>PUNTO DE EQUILIBRIO</vt:lpstr>
      <vt:lpstr>PRINCIPALES RATIOS</vt:lpstr>
      <vt:lpstr>CUADROS DE RATIOS</vt:lpstr>
      <vt:lpstr>LOCALIZACION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Carpio E</dc:creator>
  <cp:lastModifiedBy>KARINA</cp:lastModifiedBy>
  <cp:revision/>
  <dcterms:created xsi:type="dcterms:W3CDTF">2014-04-17T16:27:25Z</dcterms:created>
  <dcterms:modified xsi:type="dcterms:W3CDTF">2016-09-11T11:51:50Z</dcterms:modified>
</cp:coreProperties>
</file>