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2.xml" ContentType="application/vnd.openxmlformats-officedocument.spreadsheetml.comments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15360" windowHeight="7755" tabRatio="900" activeTab="8"/>
  </bookViews>
  <sheets>
    <sheet name="INDICE GENERAL" sheetId="20" r:id="rId1"/>
    <sheet name="LOCALIZACION" sheetId="14" r:id="rId2"/>
    <sheet name="CROQUIS" sheetId="13" r:id="rId3"/>
    <sheet name="ORGANIGRAMA" sheetId="16" r:id="rId4"/>
    <sheet name="INVERSION TOTAL" sheetId="1" r:id="rId5"/>
    <sheet name="FINANCIAMIENTO" sheetId="2" r:id="rId6"/>
    <sheet name="AMORTIZACION DE CREDITO" sheetId="9" r:id="rId7"/>
    <sheet name="INGRESO POR VENTAS" sheetId="3" r:id="rId8"/>
    <sheet name="MUESTRA" sheetId="24" r:id="rId9"/>
    <sheet name="PLANILLA DE EMPLEADOS" sheetId="4" r:id="rId10"/>
    <sheet name="GASTOS INDIRECTOS" sheetId="6" r:id="rId11"/>
    <sheet name="DEPRECIACION DE EQUIPOS" sheetId="7" r:id="rId12"/>
    <sheet name="PRESUPUESTO DE GASTOS" sheetId="5" r:id="rId13"/>
    <sheet name="ESTADO DE GANACIAS Y PERDIDAS" sheetId="8" r:id="rId14"/>
    <sheet name="BALANCE GENERAL" sheetId="17" r:id="rId15"/>
    <sheet name="FLUJO DE CAJA ECON FINANCI" sheetId="10" r:id="rId16"/>
    <sheet name="EVALUACION COSTO BENEFICIO" sheetId="11" r:id="rId17"/>
    <sheet name="PUNTO DE EQUILIBRIO" sheetId="12" r:id="rId18"/>
    <sheet name="PRINCIPALES RATIOS" sheetId="18" r:id="rId19"/>
    <sheet name="CUADROS DE RATIOS" sheetId="19" r:id="rId20"/>
    <sheet name="PRI" sheetId="22" r:id="rId21"/>
    <sheet name="encuestas" sheetId="25" r:id="rId22"/>
    <sheet name="Hoja2" sheetId="26" r:id="rId23"/>
  </sheets>
  <calcPr calcId="144525"/>
</workbook>
</file>

<file path=xl/calcChain.xml><?xml version="1.0" encoding="utf-8"?>
<calcChain xmlns="http://schemas.openxmlformats.org/spreadsheetml/2006/main">
  <c r="D25" i="3" l="1"/>
  <c r="C32" i="3"/>
  <c r="C31" i="3"/>
  <c r="I27" i="3"/>
  <c r="J28" i="3" s="1"/>
  <c r="J27" i="3"/>
  <c r="J23" i="3"/>
  <c r="B27" i="3"/>
  <c r="C13" i="3"/>
  <c r="D22" i="10"/>
  <c r="B23" i="10" l="1"/>
  <c r="B27" i="10"/>
  <c r="F29" i="11"/>
  <c r="F30" i="11"/>
  <c r="I7" i="9" l="1"/>
  <c r="E67" i="1"/>
  <c r="E87" i="1"/>
  <c r="C20" i="18" l="1"/>
  <c r="G22" i="18"/>
  <c r="F22" i="18"/>
  <c r="D12" i="10" l="1"/>
  <c r="B13" i="8"/>
  <c r="B6" i="8"/>
  <c r="E18" i="9"/>
  <c r="K43" i="1"/>
  <c r="I43" i="1"/>
  <c r="K67" i="1"/>
  <c r="J9" i="7"/>
  <c r="J116" i="25"/>
  <c r="J96" i="25"/>
  <c r="J80" i="25"/>
  <c r="J63" i="25"/>
  <c r="J45" i="25"/>
  <c r="J28" i="25"/>
  <c r="J9" i="25"/>
  <c r="C97" i="25"/>
  <c r="C84" i="25"/>
  <c r="C69" i="25"/>
  <c r="C55" i="25"/>
  <c r="C35" i="25"/>
  <c r="C23" i="25"/>
  <c r="E10" i="1"/>
  <c r="E8" i="1"/>
  <c r="C8" i="25"/>
  <c r="C8" i="9"/>
  <c r="C7" i="9"/>
  <c r="B17" i="6" l="1"/>
  <c r="B31" i="3" l="1"/>
  <c r="J24" i="3"/>
  <c r="J25" i="3"/>
  <c r="J26" i="3"/>
  <c r="H27" i="3"/>
  <c r="C75" i="1"/>
  <c r="C76" i="1"/>
  <c r="C77" i="1"/>
  <c r="C78" i="1"/>
  <c r="C79" i="1"/>
  <c r="C74" i="1"/>
  <c r="C68" i="1"/>
  <c r="C69" i="1"/>
  <c r="C70" i="1"/>
  <c r="C71" i="1"/>
  <c r="C72" i="1"/>
  <c r="C67" i="1"/>
  <c r="C59" i="1"/>
  <c r="C60" i="1"/>
  <c r="C61" i="1"/>
  <c r="C62" i="1"/>
  <c r="C63" i="1"/>
  <c r="C58" i="1"/>
  <c r="C52" i="1"/>
  <c r="C53" i="1"/>
  <c r="C54" i="1"/>
  <c r="C55" i="1"/>
  <c r="C56" i="1"/>
  <c r="C51" i="1"/>
  <c r="C44" i="1"/>
  <c r="C45" i="1"/>
  <c r="C46" i="1"/>
  <c r="C47" i="1"/>
  <c r="C48" i="1"/>
  <c r="C43" i="1"/>
  <c r="B9" i="3"/>
  <c r="B75" i="1"/>
  <c r="B79" i="1"/>
  <c r="B61" i="1"/>
  <c r="B44" i="1"/>
  <c r="I79" i="1"/>
  <c r="K79" i="1" s="1"/>
  <c r="I78" i="1"/>
  <c r="K78" i="1" s="1"/>
  <c r="B78" i="1" s="1"/>
  <c r="I77" i="1"/>
  <c r="K77" i="1" s="1"/>
  <c r="B77" i="1" s="1"/>
  <c r="I76" i="1"/>
  <c r="K76" i="1" s="1"/>
  <c r="B76" i="1" s="1"/>
  <c r="I75" i="1"/>
  <c r="K75" i="1" s="1"/>
  <c r="I74" i="1"/>
  <c r="K74" i="1" s="1"/>
  <c r="B74" i="1" s="1"/>
  <c r="I72" i="1"/>
  <c r="K72" i="1" s="1"/>
  <c r="B72" i="1" s="1"/>
  <c r="I71" i="1"/>
  <c r="K71" i="1" s="1"/>
  <c r="B71" i="1" s="1"/>
  <c r="I70" i="1"/>
  <c r="K70" i="1" s="1"/>
  <c r="B70" i="1" s="1"/>
  <c r="I69" i="1"/>
  <c r="K69" i="1" s="1"/>
  <c r="B69" i="1" s="1"/>
  <c r="I68" i="1"/>
  <c r="K68" i="1" s="1"/>
  <c r="B68" i="1" s="1"/>
  <c r="I67" i="1"/>
  <c r="B67" i="1" s="1"/>
  <c r="I63" i="1"/>
  <c r="K63" i="1" s="1"/>
  <c r="B63" i="1" s="1"/>
  <c r="I62" i="1"/>
  <c r="K62" i="1" s="1"/>
  <c r="B62" i="1" s="1"/>
  <c r="I61" i="1"/>
  <c r="K61" i="1" s="1"/>
  <c r="I60" i="1"/>
  <c r="K60" i="1" s="1"/>
  <c r="B60" i="1" s="1"/>
  <c r="I59" i="1"/>
  <c r="K59" i="1" s="1"/>
  <c r="B59" i="1" s="1"/>
  <c r="I58" i="1"/>
  <c r="K58" i="1" s="1"/>
  <c r="B58" i="1" s="1"/>
  <c r="I56" i="1"/>
  <c r="K56" i="1" s="1"/>
  <c r="B56" i="1" s="1"/>
  <c r="I55" i="1"/>
  <c r="K55" i="1" s="1"/>
  <c r="B55" i="1" s="1"/>
  <c r="I54" i="1"/>
  <c r="K54" i="1" s="1"/>
  <c r="B54" i="1" s="1"/>
  <c r="I53" i="1"/>
  <c r="K53" i="1" s="1"/>
  <c r="B53" i="1" s="1"/>
  <c r="I52" i="1"/>
  <c r="K52" i="1" s="1"/>
  <c r="B52" i="1" s="1"/>
  <c r="I51" i="1"/>
  <c r="K51" i="1" s="1"/>
  <c r="B51" i="1" s="1"/>
  <c r="I48" i="1"/>
  <c r="K48" i="1" s="1"/>
  <c r="B48" i="1" s="1"/>
  <c r="I47" i="1"/>
  <c r="K47" i="1" s="1"/>
  <c r="B47" i="1" s="1"/>
  <c r="I46" i="1"/>
  <c r="K46" i="1" s="1"/>
  <c r="B46" i="1" s="1"/>
  <c r="I45" i="1"/>
  <c r="K45" i="1" s="1"/>
  <c r="B45" i="1" s="1"/>
  <c r="I44" i="1"/>
  <c r="K44" i="1" s="1"/>
  <c r="B43" i="1"/>
  <c r="C23" i="3" l="1"/>
  <c r="C24" i="3"/>
  <c r="D24" i="3" s="1"/>
  <c r="C26" i="3"/>
  <c r="D26" i="3" s="1"/>
  <c r="K73" i="1"/>
  <c r="K80" i="1"/>
  <c r="K57" i="1"/>
  <c r="K49" i="1"/>
  <c r="K64" i="1"/>
  <c r="M11" i="24"/>
  <c r="C10" i="24"/>
  <c r="N12" i="24" l="1"/>
  <c r="C8" i="24" s="1"/>
  <c r="F11" i="24" s="1"/>
  <c r="C42" i="3"/>
  <c r="C44" i="3" s="1"/>
  <c r="C25" i="3"/>
  <c r="B18" i="5"/>
  <c r="D18" i="5" s="1"/>
  <c r="B15" i="5"/>
  <c r="C15" i="5" s="1"/>
  <c r="F10" i="24" l="1"/>
  <c r="F14" i="24" s="1"/>
  <c r="E18" i="5"/>
  <c r="F18" i="5"/>
  <c r="D15" i="5"/>
  <c r="C18" i="5"/>
  <c r="B8" i="12"/>
  <c r="B7" i="12"/>
  <c r="B6" i="12"/>
  <c r="B5" i="12"/>
  <c r="B4" i="12"/>
  <c r="G4" i="12" s="1"/>
  <c r="G18" i="5" l="1"/>
  <c r="H18" i="5"/>
  <c r="F15" i="5"/>
  <c r="E15" i="5"/>
  <c r="G15" i="5" l="1"/>
  <c r="H15" i="5"/>
  <c r="I18" i="5"/>
  <c r="J18" i="5"/>
  <c r="K22" i="5"/>
  <c r="L22" i="5" s="1"/>
  <c r="G32" i="5"/>
  <c r="H32" i="5"/>
  <c r="I32" i="5"/>
  <c r="J32" i="5"/>
  <c r="K32" i="5"/>
  <c r="L32" i="5"/>
  <c r="G35" i="5"/>
  <c r="H35" i="5"/>
  <c r="I35" i="5"/>
  <c r="J35" i="5"/>
  <c r="K35" i="5"/>
  <c r="L35" i="5"/>
  <c r="E13" i="3"/>
  <c r="E14" i="3"/>
  <c r="E15" i="3"/>
  <c r="E16" i="3"/>
  <c r="E17" i="3"/>
  <c r="L18" i="5" l="1"/>
  <c r="K18" i="5"/>
  <c r="I15" i="5"/>
  <c r="J15" i="5"/>
  <c r="E18" i="3"/>
  <c r="A8" i="3"/>
  <c r="A17" i="3" s="1"/>
  <c r="A7" i="3"/>
  <c r="A16" i="3" s="1"/>
  <c r="A6" i="3"/>
  <c r="A15" i="3" s="1"/>
  <c r="A5" i="3"/>
  <c r="A14" i="3" s="1"/>
  <c r="A4" i="3"/>
  <c r="A13" i="3" s="1"/>
  <c r="L15" i="5" l="1"/>
  <c r="K15" i="5"/>
  <c r="M18" i="5"/>
  <c r="N18" i="5"/>
  <c r="I24" i="9"/>
  <c r="I25" i="9"/>
  <c r="I8" i="9"/>
  <c r="G29" i="9"/>
  <c r="H27" i="9"/>
  <c r="G27" i="9"/>
  <c r="J21" i="4"/>
  <c r="K21" i="4" s="1"/>
  <c r="J20" i="4"/>
  <c r="K20" i="4" s="1"/>
  <c r="N20" i="4" s="1"/>
  <c r="J19" i="4"/>
  <c r="K19" i="4" s="1"/>
  <c r="N19" i="4" s="1"/>
  <c r="G20" i="4"/>
  <c r="G21" i="4"/>
  <c r="G19" i="4"/>
  <c r="F20" i="4"/>
  <c r="F21" i="4"/>
  <c r="F19" i="4"/>
  <c r="E20" i="4"/>
  <c r="E21" i="4"/>
  <c r="E19" i="4"/>
  <c r="H19" i="4" s="1"/>
  <c r="I19" i="4" s="1"/>
  <c r="L7" i="4"/>
  <c r="L8" i="4"/>
  <c r="L9" i="4"/>
  <c r="L6" i="4"/>
  <c r="J7" i="4"/>
  <c r="K7" i="4" s="1"/>
  <c r="J8" i="4"/>
  <c r="K8" i="4" s="1"/>
  <c r="J9" i="4"/>
  <c r="K9" i="4" s="1"/>
  <c r="J6" i="4"/>
  <c r="K6" i="4" s="1"/>
  <c r="G7" i="4"/>
  <c r="G8" i="4"/>
  <c r="G9" i="4"/>
  <c r="F7" i="4"/>
  <c r="F8" i="4"/>
  <c r="F9" i="4"/>
  <c r="E7" i="4"/>
  <c r="E8" i="4"/>
  <c r="E9" i="4"/>
  <c r="G6" i="4"/>
  <c r="F6" i="4"/>
  <c r="E6" i="4"/>
  <c r="H6" i="4" s="1"/>
  <c r="I6" i="4" s="1"/>
  <c r="B73" i="1"/>
  <c r="B66" i="1"/>
  <c r="B57" i="1"/>
  <c r="B50" i="1"/>
  <c r="B42" i="1"/>
  <c r="H7" i="4" l="1"/>
  <c r="I7" i="4" s="1"/>
  <c r="H20" i="4"/>
  <c r="I20" i="4" s="1"/>
  <c r="F10" i="4"/>
  <c r="E10" i="4"/>
  <c r="H8" i="4"/>
  <c r="I8" i="4" s="1"/>
  <c r="G22" i="4"/>
  <c r="O18" i="5"/>
  <c r="P18" i="5"/>
  <c r="F22" i="4"/>
  <c r="N15" i="5"/>
  <c r="M15" i="5"/>
  <c r="H21" i="4"/>
  <c r="I21" i="4" s="1"/>
  <c r="I22" i="4" s="1"/>
  <c r="E22" i="4"/>
  <c r="J22" i="4"/>
  <c r="G10" i="4"/>
  <c r="J10" i="4"/>
  <c r="K10" i="4"/>
  <c r="H9" i="4"/>
  <c r="H22" i="4"/>
  <c r="K22" i="4"/>
  <c r="F14" i="12" s="1"/>
  <c r="N21" i="4"/>
  <c r="I27" i="9"/>
  <c r="E43" i="1"/>
  <c r="O15" i="5" l="1"/>
  <c r="P15" i="5"/>
  <c r="Q18" i="5"/>
  <c r="R18" i="5"/>
  <c r="H10" i="4"/>
  <c r="I9" i="4"/>
  <c r="D20" i="14"/>
  <c r="F20" i="14"/>
  <c r="H20" i="14"/>
  <c r="S18" i="5" l="1"/>
  <c r="T18" i="5"/>
  <c r="R15" i="5"/>
  <c r="Q15" i="5"/>
  <c r="I10" i="4"/>
  <c r="B10" i="5"/>
  <c r="H11" i="5" s="1"/>
  <c r="L1" i="5"/>
  <c r="E14" i="7"/>
  <c r="E13" i="7"/>
  <c r="T15" i="5" l="1"/>
  <c r="S15" i="5"/>
  <c r="V18" i="5"/>
  <c r="U18" i="5"/>
  <c r="G8" i="12"/>
  <c r="A8" i="12"/>
  <c r="A7" i="12"/>
  <c r="A6" i="12"/>
  <c r="A5" i="12"/>
  <c r="A4" i="12"/>
  <c r="E76" i="1"/>
  <c r="E68" i="1"/>
  <c r="E60" i="1"/>
  <c r="E52" i="1"/>
  <c r="C35" i="5"/>
  <c r="D35" i="5"/>
  <c r="E35" i="5"/>
  <c r="F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C32" i="5"/>
  <c r="D32" i="5"/>
  <c r="E32" i="5"/>
  <c r="F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B35" i="5"/>
  <c r="B32" i="5"/>
  <c r="A35" i="5"/>
  <c r="A34" i="5"/>
  <c r="A33" i="5"/>
  <c r="A32" i="5"/>
  <c r="A31" i="5"/>
  <c r="A18" i="5"/>
  <c r="A17" i="5"/>
  <c r="A16" i="5"/>
  <c r="A15" i="5"/>
  <c r="A14" i="5"/>
  <c r="X18" i="5" l="1"/>
  <c r="Y18" i="5" s="1"/>
  <c r="W18" i="5"/>
  <c r="U15" i="5"/>
  <c r="V15" i="5"/>
  <c r="H13" i="7"/>
  <c r="H14" i="7"/>
  <c r="E14" i="1"/>
  <c r="C10" i="4"/>
  <c r="E55" i="1"/>
  <c r="E56" i="1"/>
  <c r="X15" i="5" l="1"/>
  <c r="Y15" i="5" s="1"/>
  <c r="W15" i="5"/>
  <c r="H12" i="7"/>
  <c r="B45" i="9" l="1"/>
  <c r="B46" i="9" s="1"/>
  <c r="B47" i="9" s="1"/>
  <c r="B48" i="9" s="1"/>
  <c r="B49" i="9" s="1"/>
  <c r="B50" i="9" s="1"/>
  <c r="B51" i="9" s="1"/>
  <c r="B52" i="9" s="1"/>
  <c r="B53" i="9" s="1"/>
  <c r="B17" i="9" l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C9" i="9"/>
  <c r="H14" i="14"/>
  <c r="H15" i="14"/>
  <c r="H16" i="14"/>
  <c r="H17" i="14"/>
  <c r="H18" i="14"/>
  <c r="G19" i="14"/>
  <c r="F15" i="14"/>
  <c r="F16" i="14"/>
  <c r="F17" i="14"/>
  <c r="F18" i="14"/>
  <c r="E19" i="14"/>
  <c r="D15" i="14"/>
  <c r="D16" i="14"/>
  <c r="D17" i="14"/>
  <c r="D18" i="14"/>
  <c r="C19" i="14"/>
  <c r="B19" i="14"/>
  <c r="G5" i="12"/>
  <c r="G6" i="12"/>
  <c r="G7" i="12"/>
  <c r="I13" i="3"/>
  <c r="I14" i="3"/>
  <c r="I15" i="3"/>
  <c r="I16" i="3"/>
  <c r="I17" i="3"/>
  <c r="L17" i="3"/>
  <c r="M13" i="3"/>
  <c r="M14" i="3"/>
  <c r="M15" i="3"/>
  <c r="M16" i="3"/>
  <c r="M17" i="3"/>
  <c r="N13" i="3"/>
  <c r="N14" i="3"/>
  <c r="N15" i="3"/>
  <c r="N16" i="3"/>
  <c r="N17" i="3"/>
  <c r="T13" i="3"/>
  <c r="T14" i="3"/>
  <c r="T15" i="3"/>
  <c r="T16" i="3"/>
  <c r="T17" i="3"/>
  <c r="U13" i="3"/>
  <c r="U14" i="3"/>
  <c r="U15" i="3"/>
  <c r="U16" i="3"/>
  <c r="U17" i="3"/>
  <c r="Z13" i="3"/>
  <c r="Z14" i="3"/>
  <c r="Z15" i="3"/>
  <c r="Z16" i="3"/>
  <c r="Z17" i="3"/>
  <c r="Z4" i="3"/>
  <c r="Z5" i="3"/>
  <c r="Z6" i="3"/>
  <c r="Z7" i="3"/>
  <c r="Z8" i="3"/>
  <c r="G13" i="3"/>
  <c r="G14" i="3"/>
  <c r="G15" i="3"/>
  <c r="G16" i="3"/>
  <c r="G17" i="3"/>
  <c r="H13" i="3"/>
  <c r="H14" i="3"/>
  <c r="H15" i="3"/>
  <c r="H16" i="3"/>
  <c r="H17" i="3"/>
  <c r="J13" i="3"/>
  <c r="J14" i="3"/>
  <c r="J15" i="3"/>
  <c r="J16" i="3"/>
  <c r="J17" i="3"/>
  <c r="K13" i="3"/>
  <c r="K14" i="3"/>
  <c r="K15" i="3"/>
  <c r="K16" i="3"/>
  <c r="K17" i="3"/>
  <c r="L13" i="3"/>
  <c r="L14" i="3"/>
  <c r="L15" i="3"/>
  <c r="L16" i="3"/>
  <c r="O13" i="3"/>
  <c r="O14" i="3"/>
  <c r="O15" i="3"/>
  <c r="O16" i="3"/>
  <c r="O17" i="3"/>
  <c r="P13" i="3"/>
  <c r="P14" i="3"/>
  <c r="P15" i="3"/>
  <c r="P16" i="3"/>
  <c r="P17" i="3"/>
  <c r="Q13" i="3"/>
  <c r="Q14" i="3"/>
  <c r="Q15" i="3"/>
  <c r="Q16" i="3"/>
  <c r="Q17" i="3"/>
  <c r="R13" i="3"/>
  <c r="R14" i="3"/>
  <c r="R15" i="3"/>
  <c r="R16" i="3"/>
  <c r="R17" i="3"/>
  <c r="S13" i="3"/>
  <c r="S14" i="3"/>
  <c r="S15" i="3"/>
  <c r="S16" i="3"/>
  <c r="S17" i="3"/>
  <c r="V13" i="3"/>
  <c r="V14" i="3"/>
  <c r="V15" i="3"/>
  <c r="V16" i="3"/>
  <c r="V17" i="3"/>
  <c r="W13" i="3"/>
  <c r="W14" i="3"/>
  <c r="W15" i="3"/>
  <c r="W16" i="3"/>
  <c r="W17" i="3"/>
  <c r="X13" i="3"/>
  <c r="X14" i="3"/>
  <c r="X15" i="3"/>
  <c r="X16" i="3"/>
  <c r="X17" i="3"/>
  <c r="Y13" i="3"/>
  <c r="Y14" i="3"/>
  <c r="Y15" i="3"/>
  <c r="Y16" i="3"/>
  <c r="Y17" i="3"/>
  <c r="F13" i="3"/>
  <c r="F14" i="3"/>
  <c r="F15" i="3"/>
  <c r="F16" i="3"/>
  <c r="F17" i="3"/>
  <c r="D13" i="3"/>
  <c r="D14" i="3"/>
  <c r="D15" i="3"/>
  <c r="D16" i="3"/>
  <c r="D17" i="3"/>
  <c r="C14" i="3"/>
  <c r="C15" i="3"/>
  <c r="E6" i="7"/>
  <c r="E7" i="7"/>
  <c r="H7" i="7" s="1"/>
  <c r="E8" i="7"/>
  <c r="H8" i="7" s="1"/>
  <c r="E9" i="7"/>
  <c r="H9" i="7" s="1"/>
  <c r="E10" i="7"/>
  <c r="H10" i="7" s="1"/>
  <c r="E11" i="7"/>
  <c r="H11" i="7" s="1"/>
  <c r="E6" i="6"/>
  <c r="E83" i="1" s="1"/>
  <c r="N22" i="4"/>
  <c r="B29" i="5" s="1"/>
  <c r="H30" i="5" s="1"/>
  <c r="C22" i="4"/>
  <c r="E8" i="6"/>
  <c r="E9" i="6"/>
  <c r="E12" i="6"/>
  <c r="B22" i="5" s="1"/>
  <c r="E13" i="6"/>
  <c r="B23" i="5" s="1"/>
  <c r="C23" i="5" s="1"/>
  <c r="E14" i="6"/>
  <c r="B24" i="5" s="1"/>
  <c r="C24" i="5" s="1"/>
  <c r="D24" i="5" s="1"/>
  <c r="E24" i="5" s="1"/>
  <c r="F24" i="5" s="1"/>
  <c r="G24" i="5" s="1"/>
  <c r="H24" i="5" s="1"/>
  <c r="E15" i="6"/>
  <c r="C16" i="3"/>
  <c r="C17" i="3"/>
  <c r="E44" i="1"/>
  <c r="E45" i="1"/>
  <c r="E46" i="1"/>
  <c r="E47" i="1"/>
  <c r="E48" i="1"/>
  <c r="E51" i="1"/>
  <c r="E53" i="1"/>
  <c r="E54" i="1"/>
  <c r="E58" i="1"/>
  <c r="E59" i="1"/>
  <c r="E61" i="1"/>
  <c r="E62" i="1"/>
  <c r="E63" i="1"/>
  <c r="E69" i="1"/>
  <c r="E70" i="1"/>
  <c r="E71" i="1"/>
  <c r="E72" i="1"/>
  <c r="E74" i="1"/>
  <c r="E75" i="1"/>
  <c r="E77" i="1"/>
  <c r="E78" i="1"/>
  <c r="E79" i="1"/>
  <c r="E27" i="1"/>
  <c r="E28" i="1"/>
  <c r="E29" i="1"/>
  <c r="E30" i="1"/>
  <c r="E31" i="1"/>
  <c r="E32" i="1"/>
  <c r="E33" i="1"/>
  <c r="E34" i="1"/>
  <c r="E35" i="1"/>
  <c r="E36" i="1"/>
  <c r="E37" i="1"/>
  <c r="E38" i="1"/>
  <c r="E24" i="1"/>
  <c r="E17" i="1"/>
  <c r="E18" i="1"/>
  <c r="E19" i="1"/>
  <c r="E20" i="1"/>
  <c r="E21" i="1"/>
  <c r="E11" i="1"/>
  <c r="E12" i="1"/>
  <c r="E13" i="1"/>
  <c r="E15" i="1"/>
  <c r="E7" i="1"/>
  <c r="E23" i="1"/>
  <c r="E22" i="1" s="1"/>
  <c r="E9" i="1" l="1"/>
  <c r="E50" i="1"/>
  <c r="E42" i="1"/>
  <c r="C4" i="12" s="1"/>
  <c r="E25" i="1"/>
  <c r="E16" i="1"/>
  <c r="E39" i="1"/>
  <c r="B21" i="5"/>
  <c r="B10" i="8" s="1"/>
  <c r="C9" i="10"/>
  <c r="B16" i="5"/>
  <c r="H33" i="5"/>
  <c r="L33" i="5"/>
  <c r="G33" i="5"/>
  <c r="I33" i="5"/>
  <c r="K33" i="5"/>
  <c r="J33" i="5"/>
  <c r="C22" i="5"/>
  <c r="D22" i="5" s="1"/>
  <c r="E22" i="5" s="1"/>
  <c r="H5" i="7"/>
  <c r="H16" i="7" s="1"/>
  <c r="D12" i="17" s="1"/>
  <c r="H6" i="7"/>
  <c r="B17" i="5"/>
  <c r="J34" i="5"/>
  <c r="I34" i="5"/>
  <c r="G34" i="5"/>
  <c r="K34" i="5"/>
  <c r="H34" i="5"/>
  <c r="L34" i="5"/>
  <c r="B14" i="5"/>
  <c r="C14" i="5" s="1"/>
  <c r="D14" i="5" s="1"/>
  <c r="E14" i="5" s="1"/>
  <c r="F14" i="5" s="1"/>
  <c r="G14" i="5" s="1"/>
  <c r="H31" i="5"/>
  <c r="L31" i="5"/>
  <c r="G31" i="5"/>
  <c r="I31" i="5"/>
  <c r="K31" i="5"/>
  <c r="J31" i="5"/>
  <c r="E11" i="6"/>
  <c r="D34" i="5"/>
  <c r="P34" i="5"/>
  <c r="T34" i="5"/>
  <c r="X34" i="5"/>
  <c r="M34" i="5"/>
  <c r="R34" i="5"/>
  <c r="W34" i="5"/>
  <c r="V34" i="5"/>
  <c r="B34" i="5"/>
  <c r="C34" i="5"/>
  <c r="N34" i="5"/>
  <c r="S34" i="5"/>
  <c r="Y34" i="5"/>
  <c r="E34" i="5"/>
  <c r="O34" i="5"/>
  <c r="U34" i="5"/>
  <c r="F34" i="5"/>
  <c r="Q34" i="5"/>
  <c r="E33" i="5"/>
  <c r="M33" i="5"/>
  <c r="Q33" i="5"/>
  <c r="U33" i="5"/>
  <c r="Y33" i="5"/>
  <c r="F33" i="5"/>
  <c r="P33" i="5"/>
  <c r="V33" i="5"/>
  <c r="B33" i="5"/>
  <c r="C33" i="5"/>
  <c r="T33" i="5"/>
  <c r="R33" i="5"/>
  <c r="W33" i="5"/>
  <c r="N33" i="5"/>
  <c r="S33" i="5"/>
  <c r="X33" i="5"/>
  <c r="D33" i="5"/>
  <c r="O33" i="5"/>
  <c r="F19" i="14"/>
  <c r="H19" i="14"/>
  <c r="C31" i="5"/>
  <c r="O31" i="5"/>
  <c r="S31" i="5"/>
  <c r="W31" i="5"/>
  <c r="F31" i="5"/>
  <c r="Q31" i="5"/>
  <c r="V31" i="5"/>
  <c r="T31" i="5"/>
  <c r="B31" i="5"/>
  <c r="M31" i="5"/>
  <c r="R31" i="5"/>
  <c r="X31" i="5"/>
  <c r="D31" i="5"/>
  <c r="N31" i="5"/>
  <c r="Y31" i="5"/>
  <c r="E31" i="5"/>
  <c r="P31" i="5"/>
  <c r="U31" i="5"/>
  <c r="D19" i="14"/>
  <c r="G9" i="12"/>
  <c r="B13" i="12" s="1"/>
  <c r="D23" i="5"/>
  <c r="E23" i="5" s="1"/>
  <c r="F23" i="5" s="1"/>
  <c r="AA13" i="3"/>
  <c r="E73" i="1"/>
  <c r="C8" i="12" s="1"/>
  <c r="E57" i="1"/>
  <c r="D11" i="17"/>
  <c r="E11" i="17" s="1"/>
  <c r="F11" i="17" s="1"/>
  <c r="G11" i="17" s="1"/>
  <c r="H11" i="17" s="1"/>
  <c r="I11" i="17" s="1"/>
  <c r="J11" i="17" s="1"/>
  <c r="K11" i="17" s="1"/>
  <c r="E66" i="1"/>
  <c r="C7" i="12" s="1"/>
  <c r="F18" i="3"/>
  <c r="E4" i="8" s="1"/>
  <c r="H18" i="3"/>
  <c r="G4" i="8" s="1"/>
  <c r="H4" i="10" s="1"/>
  <c r="B10" i="11" s="1"/>
  <c r="G18" i="3"/>
  <c r="F4" i="8" s="1"/>
  <c r="F13" i="8" s="1"/>
  <c r="AA15" i="3"/>
  <c r="D18" i="3"/>
  <c r="C4" i="8" s="1"/>
  <c r="D4" i="10" s="1"/>
  <c r="B6" i="11" s="1"/>
  <c r="D4" i="8"/>
  <c r="D13" i="8" s="1"/>
  <c r="W18" i="3"/>
  <c r="V4" i="8" s="1"/>
  <c r="W4" i="10" s="1"/>
  <c r="B25" i="11" s="1"/>
  <c r="V18" i="3"/>
  <c r="U4" i="8" s="1"/>
  <c r="U13" i="8" s="1"/>
  <c r="S18" i="3"/>
  <c r="R4" i="8" s="1"/>
  <c r="S4" i="10" s="1"/>
  <c r="B21" i="11" s="1"/>
  <c r="R18" i="3"/>
  <c r="Q4" i="8" s="1"/>
  <c r="Q18" i="3"/>
  <c r="P4" i="8" s="1"/>
  <c r="Q4" i="10" s="1"/>
  <c r="B19" i="11" s="1"/>
  <c r="P18" i="3"/>
  <c r="O4" i="8" s="1"/>
  <c r="P4" i="10" s="1"/>
  <c r="B18" i="11" s="1"/>
  <c r="O18" i="3"/>
  <c r="N4" i="8" s="1"/>
  <c r="T18" i="3"/>
  <c r="S4" i="8" s="1"/>
  <c r="S13" i="8" s="1"/>
  <c r="Y18" i="3"/>
  <c r="X4" i="8" s="1"/>
  <c r="Y4" i="10" s="1"/>
  <c r="B27" i="11" s="1"/>
  <c r="X18" i="3"/>
  <c r="W4" i="8" s="1"/>
  <c r="Z18" i="3"/>
  <c r="Y4" i="8" s="1"/>
  <c r="Y13" i="8" s="1"/>
  <c r="U18" i="3"/>
  <c r="T4" i="8" s="1"/>
  <c r="K18" i="3"/>
  <c r="J4" i="8" s="1"/>
  <c r="J13" i="8" s="1"/>
  <c r="J18" i="3"/>
  <c r="I4" i="8" s="1"/>
  <c r="I13" i="8" s="1"/>
  <c r="AA17" i="3"/>
  <c r="C18" i="3"/>
  <c r="B4" i="8" s="1"/>
  <c r="E5" i="6"/>
  <c r="E16" i="6" s="1"/>
  <c r="F12" i="12" s="1"/>
  <c r="AA16" i="3"/>
  <c r="L18" i="3"/>
  <c r="K4" i="8" s="1"/>
  <c r="N18" i="3"/>
  <c r="M4" i="8" s="1"/>
  <c r="N4" i="10" s="1"/>
  <c r="B16" i="11" s="1"/>
  <c r="M18" i="3"/>
  <c r="L4" i="8" s="1"/>
  <c r="M4" i="10" s="1"/>
  <c r="B15" i="11" s="1"/>
  <c r="AA14" i="3"/>
  <c r="I18" i="3"/>
  <c r="H4" i="8" s="1"/>
  <c r="C29" i="5"/>
  <c r="M30" i="5"/>
  <c r="Y30" i="5"/>
  <c r="T30" i="5"/>
  <c r="C4" i="10" l="1"/>
  <c r="B13" i="5"/>
  <c r="B8" i="8" s="1"/>
  <c r="C21" i="5"/>
  <c r="D9" i="10" s="1"/>
  <c r="C17" i="5"/>
  <c r="D17" i="5"/>
  <c r="H14" i="5"/>
  <c r="C16" i="5"/>
  <c r="D16" i="5"/>
  <c r="B7" i="5"/>
  <c r="C7" i="5" s="1"/>
  <c r="G23" i="5"/>
  <c r="M11" i="5"/>
  <c r="E80" i="1"/>
  <c r="E86" i="1" s="1"/>
  <c r="C6" i="12"/>
  <c r="C5" i="12"/>
  <c r="D21" i="5"/>
  <c r="E21" i="5"/>
  <c r="B36" i="5"/>
  <c r="B11" i="8" s="1"/>
  <c r="B5" i="8" s="1"/>
  <c r="B12" i="8" s="1"/>
  <c r="B14" i="8" s="1"/>
  <c r="D29" i="5"/>
  <c r="O13" i="8"/>
  <c r="K4" i="10"/>
  <c r="B13" i="11" s="1"/>
  <c r="V4" i="10"/>
  <c r="B24" i="11" s="1"/>
  <c r="E4" i="10"/>
  <c r="B7" i="11" s="1"/>
  <c r="G13" i="8"/>
  <c r="D10" i="17"/>
  <c r="D13" i="17" s="1"/>
  <c r="F22" i="5"/>
  <c r="F21" i="5" s="1"/>
  <c r="Q13" i="8"/>
  <c r="H16" i="18"/>
  <c r="B5" i="11"/>
  <c r="C16" i="18"/>
  <c r="K13" i="8"/>
  <c r="F16" i="18"/>
  <c r="G4" i="10"/>
  <c r="B9" i="11" s="1"/>
  <c r="W13" i="8"/>
  <c r="J16" i="18"/>
  <c r="N13" i="8"/>
  <c r="G16" i="18"/>
  <c r="E13" i="8"/>
  <c r="D16" i="18"/>
  <c r="I4" i="10"/>
  <c r="E16" i="18"/>
  <c r="T13" i="8"/>
  <c r="I16" i="18"/>
  <c r="F4" i="10"/>
  <c r="B8" i="11" s="1"/>
  <c r="X4" i="10"/>
  <c r="B26" i="11" s="1"/>
  <c r="T4" i="10"/>
  <c r="B22" i="11" s="1"/>
  <c r="R4" i="10"/>
  <c r="B20" i="11" s="1"/>
  <c r="X13" i="8"/>
  <c r="Z4" i="10"/>
  <c r="B28" i="11" s="1"/>
  <c r="C13" i="8"/>
  <c r="G24" i="8" s="1"/>
  <c r="O4" i="10"/>
  <c r="B17" i="11" s="1"/>
  <c r="P13" i="8"/>
  <c r="R13" i="8"/>
  <c r="V13" i="8"/>
  <c r="U4" i="10"/>
  <c r="B23" i="11" s="1"/>
  <c r="L13" i="8"/>
  <c r="J4" i="10"/>
  <c r="B12" i="11" s="1"/>
  <c r="AA18" i="3"/>
  <c r="L4" i="10"/>
  <c r="B14" i="11" s="1"/>
  <c r="M13" i="8"/>
  <c r="H13" i="8"/>
  <c r="F17" i="17" s="1"/>
  <c r="B11" i="11" l="1"/>
  <c r="D17" i="17"/>
  <c r="E12" i="17"/>
  <c r="F12" i="17" s="1"/>
  <c r="G12" i="17" s="1"/>
  <c r="H12" i="17" s="1"/>
  <c r="I12" i="17" s="1"/>
  <c r="J12" i="17" s="1"/>
  <c r="K12" i="17" s="1"/>
  <c r="C10" i="8"/>
  <c r="C13" i="5"/>
  <c r="C8" i="8" s="1"/>
  <c r="F17" i="5"/>
  <c r="E17" i="5"/>
  <c r="D13" i="5"/>
  <c r="D8" i="8" s="1"/>
  <c r="E16" i="5"/>
  <c r="F16" i="5"/>
  <c r="I14" i="5"/>
  <c r="H23" i="5"/>
  <c r="G21" i="5"/>
  <c r="T11" i="5"/>
  <c r="Y11" i="5"/>
  <c r="B9" i="5"/>
  <c r="C10" i="5"/>
  <c r="D10" i="5" s="1"/>
  <c r="E10" i="8"/>
  <c r="F10" i="8"/>
  <c r="E40" i="1"/>
  <c r="E9" i="10"/>
  <c r="D10" i="8"/>
  <c r="C7" i="2"/>
  <c r="C5" i="2" s="1"/>
  <c r="C6" i="5"/>
  <c r="C7" i="8" s="1"/>
  <c r="E29" i="5"/>
  <c r="E17" i="17"/>
  <c r="H17" i="17"/>
  <c r="H20" i="17" s="1"/>
  <c r="H21" i="17" s="1"/>
  <c r="G14" i="18" s="1"/>
  <c r="B6" i="5"/>
  <c r="J17" i="17"/>
  <c r="J20" i="17" s="1"/>
  <c r="F9" i="10"/>
  <c r="G17" i="17"/>
  <c r="G20" i="17" s="1"/>
  <c r="I17" i="17"/>
  <c r="I20" i="17" s="1"/>
  <c r="C36" i="5"/>
  <c r="C11" i="8" s="1"/>
  <c r="K17" i="17"/>
  <c r="K20" i="17" s="1"/>
  <c r="E10" i="17"/>
  <c r="E13" i="17" s="1"/>
  <c r="C13" i="18"/>
  <c r="C19" i="18"/>
  <c r="B7" i="10" l="1"/>
  <c r="B6" i="10" s="1"/>
  <c r="C9" i="5"/>
  <c r="C6" i="8" s="1"/>
  <c r="E13" i="5"/>
  <c r="E8" i="8" s="1"/>
  <c r="B7" i="2"/>
  <c r="B6" i="2" s="1"/>
  <c r="D6" i="2" s="1"/>
  <c r="C3" i="9" s="1"/>
  <c r="C10" i="9" s="1"/>
  <c r="J14" i="5"/>
  <c r="G16" i="5"/>
  <c r="H16" i="5"/>
  <c r="F13" i="5"/>
  <c r="F8" i="8" s="1"/>
  <c r="G17" i="5"/>
  <c r="H17" i="5"/>
  <c r="H21" i="5"/>
  <c r="I23" i="5"/>
  <c r="G10" i="8"/>
  <c r="B7" i="8"/>
  <c r="D28" i="5"/>
  <c r="E28" i="5"/>
  <c r="C28" i="5"/>
  <c r="B28" i="5"/>
  <c r="D7" i="5"/>
  <c r="D7" i="17" s="1"/>
  <c r="F29" i="5"/>
  <c r="G6" i="18"/>
  <c r="B5" i="5"/>
  <c r="B4" i="5" s="1"/>
  <c r="C8" i="10" s="1"/>
  <c r="K21" i="17"/>
  <c r="J14" i="18" s="1"/>
  <c r="J6" i="18"/>
  <c r="J21" i="17"/>
  <c r="I14" i="18" s="1"/>
  <c r="I6" i="18"/>
  <c r="D36" i="5"/>
  <c r="D11" i="8" s="1"/>
  <c r="G9" i="10"/>
  <c r="G21" i="17"/>
  <c r="F14" i="18" s="1"/>
  <c r="F6" i="18"/>
  <c r="I21" i="17"/>
  <c r="H14" i="18" s="1"/>
  <c r="H6" i="18"/>
  <c r="D19" i="18"/>
  <c r="D13" i="18"/>
  <c r="F10" i="17"/>
  <c r="D5" i="2"/>
  <c r="D23" i="17" s="1"/>
  <c r="E10" i="5"/>
  <c r="D9" i="5"/>
  <c r="D6" i="8" s="1"/>
  <c r="C5" i="5"/>
  <c r="C4" i="5" s="1"/>
  <c r="D8" i="10" s="1"/>
  <c r="B20" i="5" l="1"/>
  <c r="C10" i="10"/>
  <c r="B12" i="10"/>
  <c r="C4" i="11"/>
  <c r="D7" i="2"/>
  <c r="E6" i="2" s="1"/>
  <c r="E5" i="2" s="1"/>
  <c r="C15" i="9"/>
  <c r="B13" i="10"/>
  <c r="B17" i="10" s="1"/>
  <c r="C43" i="9"/>
  <c r="G13" i="5"/>
  <c r="G8" i="8" s="1"/>
  <c r="I17" i="5"/>
  <c r="J17" i="5"/>
  <c r="K14" i="5"/>
  <c r="I16" i="5"/>
  <c r="J16" i="5"/>
  <c r="H13" i="5"/>
  <c r="H8" i="8" s="1"/>
  <c r="F45" i="9"/>
  <c r="H45" i="9" s="1"/>
  <c r="F21" i="9"/>
  <c r="F48" i="9"/>
  <c r="H48" i="9" s="1"/>
  <c r="F35" i="9"/>
  <c r="F28" i="9"/>
  <c r="F16" i="9"/>
  <c r="F32" i="9"/>
  <c r="F15" i="9"/>
  <c r="F39" i="9"/>
  <c r="F51" i="9"/>
  <c r="H51" i="9" s="1"/>
  <c r="F43" i="9"/>
  <c r="H43" i="9" s="1"/>
  <c r="F20" i="9"/>
  <c r="F13" i="12"/>
  <c r="F18" i="9"/>
  <c r="F26" i="9"/>
  <c r="F27" i="9"/>
  <c r="F44" i="9"/>
  <c r="H44" i="9" s="1"/>
  <c r="F33" i="9"/>
  <c r="F25" i="9"/>
  <c r="F29" i="9"/>
  <c r="F52" i="9"/>
  <c r="H52" i="9" s="1"/>
  <c r="F47" i="9"/>
  <c r="H47" i="9" s="1"/>
  <c r="F50" i="9"/>
  <c r="H50" i="9" s="1"/>
  <c r="F36" i="9"/>
  <c r="F38" i="9"/>
  <c r="F24" i="9"/>
  <c r="F22" i="9"/>
  <c r="F49" i="9"/>
  <c r="H49" i="9" s="1"/>
  <c r="F23" i="9"/>
  <c r="F31" i="9"/>
  <c r="F46" i="9"/>
  <c r="H46" i="9" s="1"/>
  <c r="F4" i="12"/>
  <c r="I4" i="12" s="1"/>
  <c r="F30" i="9"/>
  <c r="F19" i="9"/>
  <c r="F17" i="9"/>
  <c r="F37" i="9"/>
  <c r="F34" i="9"/>
  <c r="F28" i="5"/>
  <c r="F20" i="5" s="1"/>
  <c r="G29" i="5"/>
  <c r="I21" i="5"/>
  <c r="J23" i="5"/>
  <c r="C9" i="8"/>
  <c r="C5" i="8" s="1"/>
  <c r="C12" i="8" s="1"/>
  <c r="C14" i="8" s="1"/>
  <c r="C15" i="8" s="1"/>
  <c r="C20" i="5"/>
  <c r="E9" i="8"/>
  <c r="E20" i="5"/>
  <c r="F9" i="8"/>
  <c r="H10" i="8"/>
  <c r="D9" i="8"/>
  <c r="D20" i="5"/>
  <c r="E7" i="5"/>
  <c r="F7" i="5" s="1"/>
  <c r="G7" i="5" s="1"/>
  <c r="D10" i="10"/>
  <c r="D6" i="10" s="1"/>
  <c r="C6" i="11" s="1"/>
  <c r="D6" i="11" s="1"/>
  <c r="B9" i="8"/>
  <c r="C6" i="10"/>
  <c r="D6" i="5"/>
  <c r="D7" i="8" s="1"/>
  <c r="H9" i="10"/>
  <c r="E36" i="5"/>
  <c r="E11" i="8" s="1"/>
  <c r="E10" i="10"/>
  <c r="E13" i="18"/>
  <c r="E19" i="18"/>
  <c r="F13" i="17"/>
  <c r="G10" i="17"/>
  <c r="C23" i="18"/>
  <c r="B18" i="10"/>
  <c r="E9" i="5"/>
  <c r="E6" i="8" s="1"/>
  <c r="F10" i="5"/>
  <c r="G10" i="5" s="1"/>
  <c r="D44" i="9" l="1"/>
  <c r="C14" i="10" s="1"/>
  <c r="D16" i="9"/>
  <c r="E16" i="9" s="1"/>
  <c r="I13" i="5"/>
  <c r="I8" i="8" s="1"/>
  <c r="L14" i="5"/>
  <c r="K16" i="5"/>
  <c r="L16" i="5"/>
  <c r="J13" i="5"/>
  <c r="J8" i="8" s="1"/>
  <c r="L17" i="5"/>
  <c r="K17" i="5"/>
  <c r="F5" i="12"/>
  <c r="D5" i="12"/>
  <c r="H5" i="12" s="1"/>
  <c r="D7" i="12"/>
  <c r="H7" i="12" s="1"/>
  <c r="D6" i="12"/>
  <c r="H6" i="12" s="1"/>
  <c r="D4" i="12"/>
  <c r="H4" i="12" s="1"/>
  <c r="D8" i="12"/>
  <c r="H8" i="12" s="1"/>
  <c r="K23" i="5"/>
  <c r="J21" i="5"/>
  <c r="G6" i="5"/>
  <c r="H7" i="5"/>
  <c r="H29" i="5"/>
  <c r="G28" i="5"/>
  <c r="G20" i="5" s="1"/>
  <c r="G9" i="5"/>
  <c r="H10" i="5"/>
  <c r="E6" i="5"/>
  <c r="E7" i="8" s="1"/>
  <c r="I10" i="8"/>
  <c r="C5" i="11"/>
  <c r="C12" i="10"/>
  <c r="E7" i="17"/>
  <c r="C7" i="18"/>
  <c r="D5" i="5"/>
  <c r="D4" i="5" s="1"/>
  <c r="E8" i="10" s="1"/>
  <c r="E6" i="10" s="1"/>
  <c r="E12" i="10" s="1"/>
  <c r="C22" i="18"/>
  <c r="D5" i="8"/>
  <c r="D12" i="8" s="1"/>
  <c r="F36" i="5"/>
  <c r="F10" i="10"/>
  <c r="I9" i="10"/>
  <c r="F19" i="18"/>
  <c r="H10" i="17"/>
  <c r="F13" i="18"/>
  <c r="G13" i="17"/>
  <c r="E23" i="17"/>
  <c r="D23" i="18" s="1"/>
  <c r="F6" i="5"/>
  <c r="F7" i="8" s="1"/>
  <c r="F9" i="5"/>
  <c r="F6" i="8" s="1"/>
  <c r="C44" i="9" l="1"/>
  <c r="E44" i="9"/>
  <c r="C15" i="10" s="1"/>
  <c r="C16" i="9"/>
  <c r="D17" i="9" s="1"/>
  <c r="K13" i="5"/>
  <c r="K8" i="8" s="1"/>
  <c r="M16" i="5"/>
  <c r="N16" i="5"/>
  <c r="N17" i="5"/>
  <c r="M17" i="5"/>
  <c r="M14" i="5"/>
  <c r="L13" i="5"/>
  <c r="L8" i="8" s="1"/>
  <c r="C17" i="10"/>
  <c r="H9" i="12"/>
  <c r="B12" i="12" s="1"/>
  <c r="I5" i="12"/>
  <c r="F6" i="12"/>
  <c r="E17" i="9"/>
  <c r="I7" i="5"/>
  <c r="H6" i="5"/>
  <c r="G5" i="5"/>
  <c r="G4" i="5" s="1"/>
  <c r="F11" i="8"/>
  <c r="G36" i="5"/>
  <c r="H36" i="5" s="1"/>
  <c r="I36" i="5" s="1"/>
  <c r="J36" i="5" s="1"/>
  <c r="K36" i="5" s="1"/>
  <c r="L36" i="5" s="1"/>
  <c r="H28" i="5"/>
  <c r="H20" i="5" s="1"/>
  <c r="I29" i="5"/>
  <c r="G9" i="8"/>
  <c r="I10" i="5"/>
  <c r="H9" i="5"/>
  <c r="L23" i="5"/>
  <c r="K21" i="5"/>
  <c r="E5" i="5"/>
  <c r="E4" i="5" s="1"/>
  <c r="F8" i="10" s="1"/>
  <c r="J10" i="8"/>
  <c r="D5" i="11"/>
  <c r="D22" i="18"/>
  <c r="H22" i="18" s="1"/>
  <c r="D7" i="18"/>
  <c r="F7" i="17"/>
  <c r="C18" i="18"/>
  <c r="C34" i="18" s="1"/>
  <c r="C7" i="11"/>
  <c r="D7" i="11" s="1"/>
  <c r="E5" i="8"/>
  <c r="E12" i="8" s="1"/>
  <c r="J9" i="10"/>
  <c r="G10" i="10"/>
  <c r="D14" i="8"/>
  <c r="C15" i="18"/>
  <c r="G13" i="18"/>
  <c r="G19" i="18"/>
  <c r="H13" i="17"/>
  <c r="I10" i="17"/>
  <c r="F23" i="17"/>
  <c r="E23" i="18" s="1"/>
  <c r="G7" i="8"/>
  <c r="G6" i="8"/>
  <c r="F5" i="5"/>
  <c r="F4" i="5" s="1"/>
  <c r="G8" i="10" s="1"/>
  <c r="C8" i="11" l="1"/>
  <c r="D8" i="11" s="1"/>
  <c r="F6" i="10"/>
  <c r="G11" i="8"/>
  <c r="C17" i="9"/>
  <c r="D18" i="9" s="1"/>
  <c r="D45" i="9"/>
  <c r="D24" i="17"/>
  <c r="D20" i="8"/>
  <c r="B15" i="8"/>
  <c r="C19" i="10"/>
  <c r="O16" i="5"/>
  <c r="P16" i="5"/>
  <c r="O17" i="5"/>
  <c r="P17" i="5"/>
  <c r="N14" i="5"/>
  <c r="M13" i="5"/>
  <c r="M8" i="8" s="1"/>
  <c r="H9" i="8"/>
  <c r="I6" i="12"/>
  <c r="F7" i="12"/>
  <c r="L21" i="5"/>
  <c r="M23" i="5"/>
  <c r="Q23" i="5" s="1"/>
  <c r="R23" i="5" s="1"/>
  <c r="S23" i="5" s="1"/>
  <c r="T23" i="5" s="1"/>
  <c r="U23" i="5" s="1"/>
  <c r="V23" i="5" s="1"/>
  <c r="W23" i="5" s="1"/>
  <c r="X23" i="5" s="1"/>
  <c r="J29" i="5"/>
  <c r="I28" i="5"/>
  <c r="J10" i="5"/>
  <c r="I9" i="5"/>
  <c r="H5" i="5"/>
  <c r="H4" i="5" s="1"/>
  <c r="J7" i="5"/>
  <c r="I6" i="5"/>
  <c r="K10" i="8"/>
  <c r="G7" i="17"/>
  <c r="E7" i="18"/>
  <c r="C47" i="18"/>
  <c r="G6" i="10"/>
  <c r="G12" i="10" s="1"/>
  <c r="F5" i="8"/>
  <c r="F12" i="8" s="1"/>
  <c r="F14" i="8" s="1"/>
  <c r="F15" i="8" s="1"/>
  <c r="F12" i="10"/>
  <c r="H11" i="8"/>
  <c r="H10" i="10"/>
  <c r="K9" i="10"/>
  <c r="D15" i="8"/>
  <c r="E14" i="8"/>
  <c r="H19" i="18"/>
  <c r="H13" i="18"/>
  <c r="I13" i="17"/>
  <c r="J10" i="17"/>
  <c r="G23" i="17"/>
  <c r="F23" i="18" s="1"/>
  <c r="H7" i="8"/>
  <c r="H8" i="10"/>
  <c r="H6" i="8"/>
  <c r="E45" i="9" l="1"/>
  <c r="D15" i="10" s="1"/>
  <c r="D14" i="10"/>
  <c r="C45" i="9"/>
  <c r="D26" i="17"/>
  <c r="E25" i="17"/>
  <c r="O14" i="5"/>
  <c r="N13" i="5"/>
  <c r="N8" i="8" s="1"/>
  <c r="R17" i="5"/>
  <c r="Q17" i="5"/>
  <c r="Q16" i="5"/>
  <c r="R16" i="5"/>
  <c r="I5" i="5"/>
  <c r="I4" i="5" s="1"/>
  <c r="C18" i="9"/>
  <c r="D19" i="9" s="1"/>
  <c r="E19" i="9" s="1"/>
  <c r="F8" i="12"/>
  <c r="I8" i="12" s="1"/>
  <c r="I7" i="12"/>
  <c r="I20" i="5"/>
  <c r="I9" i="8"/>
  <c r="K29" i="5"/>
  <c r="J28" i="5"/>
  <c r="J6" i="5"/>
  <c r="K7" i="5"/>
  <c r="K10" i="5"/>
  <c r="J9" i="5"/>
  <c r="L10" i="8"/>
  <c r="F7" i="18"/>
  <c r="H7" i="17"/>
  <c r="G5" i="8"/>
  <c r="G12" i="8" s="1"/>
  <c r="G14" i="8" s="1"/>
  <c r="G15" i="8" s="1"/>
  <c r="C9" i="11"/>
  <c r="D9" i="11" s="1"/>
  <c r="H6" i="10"/>
  <c r="C10" i="11" s="1"/>
  <c r="D10" i="11" s="1"/>
  <c r="M21" i="5"/>
  <c r="L9" i="10"/>
  <c r="I11" i="8"/>
  <c r="I10" i="10"/>
  <c r="E15" i="8"/>
  <c r="I13" i="18"/>
  <c r="I19" i="18"/>
  <c r="C11" i="18"/>
  <c r="K10" i="17"/>
  <c r="J13" i="17"/>
  <c r="H23" i="17"/>
  <c r="G23" i="18" s="1"/>
  <c r="I7" i="8"/>
  <c r="I6" i="8"/>
  <c r="I8" i="10"/>
  <c r="D17" i="10" l="1"/>
  <c r="D19" i="10" s="1"/>
  <c r="D46" i="9"/>
  <c r="T17" i="5"/>
  <c r="S17" i="5"/>
  <c r="T16" i="5"/>
  <c r="S16" i="5"/>
  <c r="P14" i="5"/>
  <c r="O13" i="5"/>
  <c r="O8" i="8" s="1"/>
  <c r="I9" i="12"/>
  <c r="C19" i="9"/>
  <c r="D20" i="9" s="1"/>
  <c r="E20" i="9" s="1"/>
  <c r="J20" i="5"/>
  <c r="J9" i="8"/>
  <c r="E22" i="18" s="1"/>
  <c r="J22" i="18" s="1"/>
  <c r="K9" i="5"/>
  <c r="L10" i="5"/>
  <c r="L9" i="5" s="1"/>
  <c r="K28" i="5"/>
  <c r="K20" i="5" s="1"/>
  <c r="L29" i="5"/>
  <c r="L28" i="5" s="1"/>
  <c r="K6" i="5"/>
  <c r="K5" i="5" s="1"/>
  <c r="K4" i="5" s="1"/>
  <c r="L7" i="5"/>
  <c r="L6" i="5" s="1"/>
  <c r="L5" i="5" s="1"/>
  <c r="L4" i="5" s="1"/>
  <c r="J5" i="5"/>
  <c r="J4" i="5" s="1"/>
  <c r="M10" i="8"/>
  <c r="I7" i="17"/>
  <c r="G7" i="18"/>
  <c r="D15" i="18"/>
  <c r="D18" i="18"/>
  <c r="D34" i="18" s="1"/>
  <c r="E24" i="17"/>
  <c r="E26" i="17" s="1"/>
  <c r="I6" i="10"/>
  <c r="I12" i="10" s="1"/>
  <c r="H12" i="10"/>
  <c r="H5" i="8"/>
  <c r="H12" i="8" s="1"/>
  <c r="J11" i="8"/>
  <c r="J10" i="10"/>
  <c r="N22" i="5"/>
  <c r="N21" i="5" s="1"/>
  <c r="M9" i="10"/>
  <c r="K13" i="17"/>
  <c r="J19" i="18"/>
  <c r="J13" i="18"/>
  <c r="C46" i="18"/>
  <c r="I23" i="17"/>
  <c r="H23" i="18" s="1"/>
  <c r="J7" i="8"/>
  <c r="J8" i="10"/>
  <c r="J6" i="8"/>
  <c r="E14" i="10" l="1"/>
  <c r="E17" i="10" s="1"/>
  <c r="D6" i="17" s="1"/>
  <c r="E46" i="9"/>
  <c r="E15" i="10" s="1"/>
  <c r="C21" i="18" s="1"/>
  <c r="C46" i="9"/>
  <c r="U16" i="5"/>
  <c r="V16" i="5"/>
  <c r="Q14" i="5"/>
  <c r="P13" i="5"/>
  <c r="P8" i="8" s="1"/>
  <c r="U17" i="5"/>
  <c r="V17" i="5"/>
  <c r="M29" i="5"/>
  <c r="M28" i="5" s="1"/>
  <c r="M9" i="8" s="1"/>
  <c r="C20" i="9"/>
  <c r="I22" i="18"/>
  <c r="L20" i="5"/>
  <c r="L9" i="8"/>
  <c r="N10" i="8"/>
  <c r="J7" i="17"/>
  <c r="H7" i="18"/>
  <c r="D47" i="18"/>
  <c r="F25" i="17"/>
  <c r="D11" i="18"/>
  <c r="D46" i="18" s="1"/>
  <c r="C11" i="11"/>
  <c r="D11" i="11" s="1"/>
  <c r="I5" i="8"/>
  <c r="I12" i="8" s="1"/>
  <c r="I14" i="8" s="1"/>
  <c r="I15" i="8" s="1"/>
  <c r="J6" i="10"/>
  <c r="J12" i="10" s="1"/>
  <c r="O22" i="5"/>
  <c r="O21" i="5" s="1"/>
  <c r="K11" i="8"/>
  <c r="K10" i="10"/>
  <c r="N9" i="10"/>
  <c r="D9" i="18"/>
  <c r="H14" i="8"/>
  <c r="J23" i="17"/>
  <c r="I23" i="18" s="1"/>
  <c r="K7" i="8"/>
  <c r="K6" i="8"/>
  <c r="K8" i="10"/>
  <c r="N29" i="5"/>
  <c r="N28" i="5" s="1"/>
  <c r="N9" i="8" s="1"/>
  <c r="E19" i="10" l="1"/>
  <c r="D8" i="17"/>
  <c r="C8" i="18"/>
  <c r="D47" i="9"/>
  <c r="C47" i="9" s="1"/>
  <c r="D19" i="17"/>
  <c r="D20" i="17" s="1"/>
  <c r="W17" i="5"/>
  <c r="X17" i="5"/>
  <c r="Y17" i="5" s="1"/>
  <c r="W16" i="5"/>
  <c r="X16" i="5"/>
  <c r="Y16" i="5" s="1"/>
  <c r="R14" i="5"/>
  <c r="Q13" i="5"/>
  <c r="Q8" i="8" s="1"/>
  <c r="M20" i="5"/>
  <c r="D21" i="9"/>
  <c r="E21" i="9" s="1"/>
  <c r="O10" i="8"/>
  <c r="N20" i="5"/>
  <c r="I7" i="18"/>
  <c r="K7" i="17"/>
  <c r="J7" i="18" s="1"/>
  <c r="D20" i="18"/>
  <c r="J5" i="8"/>
  <c r="J12" i="8" s="1"/>
  <c r="J14" i="8" s="1"/>
  <c r="J15" i="8" s="1"/>
  <c r="C12" i="11"/>
  <c r="D12" i="11" s="1"/>
  <c r="K6" i="10"/>
  <c r="K12" i="10" s="1"/>
  <c r="P22" i="5"/>
  <c r="P21" i="5" s="1"/>
  <c r="O9" i="10"/>
  <c r="L11" i="8"/>
  <c r="H15" i="8"/>
  <c r="D45" i="18"/>
  <c r="K23" i="17"/>
  <c r="M7" i="5"/>
  <c r="L7" i="8"/>
  <c r="L8" i="10"/>
  <c r="M10" i="5"/>
  <c r="L6" i="8"/>
  <c r="O29" i="5"/>
  <c r="O28" i="5" s="1"/>
  <c r="O9" i="8" s="1"/>
  <c r="D21" i="17" l="1"/>
  <c r="C6" i="18"/>
  <c r="D14" i="17"/>
  <c r="C12" i="18" s="1"/>
  <c r="C5" i="18"/>
  <c r="C35" i="18"/>
  <c r="C29" i="18"/>
  <c r="D48" i="9"/>
  <c r="E47" i="9"/>
  <c r="F15" i="10" s="1"/>
  <c r="F14" i="10"/>
  <c r="S14" i="5"/>
  <c r="R13" i="5"/>
  <c r="R8" i="8" s="1"/>
  <c r="C21" i="9"/>
  <c r="D22" i="9" s="1"/>
  <c r="O20" i="5"/>
  <c r="P10" i="8"/>
  <c r="F24" i="17"/>
  <c r="F26" i="17" s="1"/>
  <c r="E15" i="18"/>
  <c r="E18" i="18"/>
  <c r="E34" i="18" s="1"/>
  <c r="C13" i="11"/>
  <c r="D13" i="11" s="1"/>
  <c r="M36" i="5"/>
  <c r="M11" i="8" s="1"/>
  <c r="M10" i="10"/>
  <c r="Q21" i="5"/>
  <c r="P9" i="10"/>
  <c r="J23" i="18"/>
  <c r="N7" i="5"/>
  <c r="M6" i="5"/>
  <c r="M7" i="8" s="1"/>
  <c r="M9" i="5"/>
  <c r="M6" i="8" s="1"/>
  <c r="N10" i="5"/>
  <c r="M8" i="10"/>
  <c r="P29" i="5"/>
  <c r="P28" i="5" s="1"/>
  <c r="P9" i="8" s="1"/>
  <c r="D27" i="17" l="1"/>
  <c r="C14" i="18"/>
  <c r="C41" i="18" s="1"/>
  <c r="F17" i="10"/>
  <c r="F19" i="10" s="1"/>
  <c r="C36" i="18"/>
  <c r="C44" i="18"/>
  <c r="G14" i="10"/>
  <c r="E48" i="9"/>
  <c r="G15" i="10" s="1"/>
  <c r="C30" i="18"/>
  <c r="C28" i="18"/>
  <c r="C27" i="18"/>
  <c r="C48" i="9"/>
  <c r="T14" i="5"/>
  <c r="S13" i="5"/>
  <c r="S8" i="8" s="1"/>
  <c r="E22" i="9"/>
  <c r="C22" i="9"/>
  <c r="D23" i="9" s="1"/>
  <c r="E23" i="9" s="1"/>
  <c r="P20" i="5"/>
  <c r="Q10" i="8"/>
  <c r="G25" i="17"/>
  <c r="E11" i="18"/>
  <c r="E46" i="18" s="1"/>
  <c r="E47" i="18"/>
  <c r="L5" i="8"/>
  <c r="L12" i="8" s="1"/>
  <c r="L14" i="8" s="1"/>
  <c r="L15" i="8" s="1"/>
  <c r="M6" i="10"/>
  <c r="C15" i="11" s="1"/>
  <c r="D15" i="11" s="1"/>
  <c r="Q9" i="10"/>
  <c r="R21" i="5"/>
  <c r="N36" i="5"/>
  <c r="N11" i="8" s="1"/>
  <c r="N10" i="10"/>
  <c r="E9" i="18"/>
  <c r="O7" i="5"/>
  <c r="N6" i="5"/>
  <c r="N7" i="8" s="1"/>
  <c r="M5" i="5"/>
  <c r="M4" i="5" s="1"/>
  <c r="N8" i="10" s="1"/>
  <c r="O10" i="5"/>
  <c r="N9" i="5"/>
  <c r="N6" i="8" s="1"/>
  <c r="Q29" i="5"/>
  <c r="Q28" i="5" s="1"/>
  <c r="Q9" i="8" s="1"/>
  <c r="G17" i="10"/>
  <c r="D49" i="9" l="1"/>
  <c r="C23" i="9"/>
  <c r="D24" i="9" s="1"/>
  <c r="C24" i="9" s="1"/>
  <c r="D25" i="9" s="1"/>
  <c r="E25" i="9" s="1"/>
  <c r="U14" i="5"/>
  <c r="T13" i="5"/>
  <c r="T8" i="8" s="1"/>
  <c r="R10" i="8"/>
  <c r="Q20" i="5"/>
  <c r="E20" i="18"/>
  <c r="M5" i="8"/>
  <c r="M12" i="8" s="1"/>
  <c r="M14" i="8" s="1"/>
  <c r="M15" i="8" s="1"/>
  <c r="M12" i="10"/>
  <c r="N6" i="10"/>
  <c r="C16" i="11" s="1"/>
  <c r="D16" i="11" s="1"/>
  <c r="S21" i="5"/>
  <c r="R9" i="10"/>
  <c r="O36" i="5"/>
  <c r="O11" i="8" s="1"/>
  <c r="O10" i="10"/>
  <c r="E45" i="18"/>
  <c r="P7" i="5"/>
  <c r="O6" i="5"/>
  <c r="O7" i="8" s="1"/>
  <c r="N5" i="5"/>
  <c r="N4" i="5" s="1"/>
  <c r="O8" i="10" s="1"/>
  <c r="O9" i="5"/>
  <c r="O6" i="8" s="1"/>
  <c r="P10" i="5"/>
  <c r="R29" i="5"/>
  <c r="R28" i="5" s="1"/>
  <c r="R9" i="8" s="1"/>
  <c r="G19" i="10"/>
  <c r="C25" i="9" l="1"/>
  <c r="D26" i="9" s="1"/>
  <c r="E26" i="9" s="1"/>
  <c r="H14" i="10"/>
  <c r="E49" i="9"/>
  <c r="H15" i="10" s="1"/>
  <c r="D21" i="18" s="1"/>
  <c r="C49" i="9"/>
  <c r="E24" i="9"/>
  <c r="V14" i="5"/>
  <c r="U13" i="5"/>
  <c r="U8" i="8" s="1"/>
  <c r="C26" i="9"/>
  <c r="D27" i="9" s="1"/>
  <c r="R20" i="5"/>
  <c r="S10" i="8"/>
  <c r="N5" i="8"/>
  <c r="N12" i="8" s="1"/>
  <c r="N12" i="10"/>
  <c r="O6" i="10"/>
  <c r="O12" i="10" s="1"/>
  <c r="P36" i="5"/>
  <c r="P11" i="8" s="1"/>
  <c r="P10" i="10"/>
  <c r="T21" i="5"/>
  <c r="S9" i="10"/>
  <c r="Q7" i="5"/>
  <c r="P6" i="5"/>
  <c r="P7" i="8" s="1"/>
  <c r="O5" i="5"/>
  <c r="O4" i="5" s="1"/>
  <c r="P8" i="10" s="1"/>
  <c r="Q10" i="5"/>
  <c r="P9" i="5"/>
  <c r="P6" i="8" s="1"/>
  <c r="S29" i="5"/>
  <c r="S28" i="5" s="1"/>
  <c r="S9" i="8" s="1"/>
  <c r="E19" i="17" l="1"/>
  <c r="E20" i="17" s="1"/>
  <c r="D50" i="9"/>
  <c r="W14" i="5"/>
  <c r="V13" i="5"/>
  <c r="V8" i="8" s="1"/>
  <c r="E27" i="9"/>
  <c r="C27" i="9"/>
  <c r="D28" i="9" s="1"/>
  <c r="E28" i="9" s="1"/>
  <c r="S20" i="5"/>
  <c r="T10" i="8"/>
  <c r="C17" i="11"/>
  <c r="D17" i="11" s="1"/>
  <c r="O5" i="8"/>
  <c r="O12" i="8" s="1"/>
  <c r="O14" i="8" s="1"/>
  <c r="O15" i="8" s="1"/>
  <c r="P6" i="10"/>
  <c r="P12" i="10" s="1"/>
  <c r="T9" i="10"/>
  <c r="U21" i="5"/>
  <c r="Q36" i="5"/>
  <c r="Q11" i="8" s="1"/>
  <c r="Q10" i="10"/>
  <c r="N14" i="8"/>
  <c r="O17" i="10"/>
  <c r="R7" i="5"/>
  <c r="Q6" i="5"/>
  <c r="Q7" i="8" s="1"/>
  <c r="Q9" i="5"/>
  <c r="Q6" i="8" s="1"/>
  <c r="R10" i="5"/>
  <c r="P5" i="5"/>
  <c r="P4" i="5" s="1"/>
  <c r="Q8" i="10" s="1"/>
  <c r="T29" i="5"/>
  <c r="T28" i="5" s="1"/>
  <c r="T9" i="8" s="1"/>
  <c r="H17" i="10"/>
  <c r="E6" i="17" s="1"/>
  <c r="E21" i="17" l="1"/>
  <c r="D6" i="18"/>
  <c r="E50" i="9"/>
  <c r="I15" i="10" s="1"/>
  <c r="I14" i="10"/>
  <c r="C50" i="9"/>
  <c r="D51" i="9" s="1"/>
  <c r="X14" i="5"/>
  <c r="W13" i="5"/>
  <c r="W8" i="8" s="1"/>
  <c r="C28" i="9"/>
  <c r="D29" i="9" s="1"/>
  <c r="E29" i="9" s="1"/>
  <c r="T20" i="5"/>
  <c r="U10" i="8"/>
  <c r="C18" i="11"/>
  <c r="D18" i="11" s="1"/>
  <c r="Q6" i="10"/>
  <c r="Q12" i="10" s="1"/>
  <c r="P5" i="8"/>
  <c r="P12" i="8" s="1"/>
  <c r="P14" i="8" s="1"/>
  <c r="P15" i="8" s="1"/>
  <c r="U9" i="10"/>
  <c r="R36" i="5"/>
  <c r="R11" i="8" s="1"/>
  <c r="R10" i="10"/>
  <c r="V21" i="5"/>
  <c r="N15" i="8"/>
  <c r="P17" i="10"/>
  <c r="S7" i="5"/>
  <c r="R6" i="5"/>
  <c r="R7" i="8" s="1"/>
  <c r="Q5" i="5"/>
  <c r="Q4" i="5" s="1"/>
  <c r="R8" i="10" s="1"/>
  <c r="S10" i="5"/>
  <c r="R9" i="5"/>
  <c r="R6" i="8" s="1"/>
  <c r="U29" i="5"/>
  <c r="U28" i="5" s="1"/>
  <c r="U9" i="8" s="1"/>
  <c r="H19" i="10"/>
  <c r="D14" i="18" l="1"/>
  <c r="D40" i="18" s="1"/>
  <c r="E27" i="17"/>
  <c r="Y14" i="5"/>
  <c r="Y13" i="5" s="1"/>
  <c r="Y8" i="8" s="1"/>
  <c r="X13" i="5"/>
  <c r="X8" i="8" s="1"/>
  <c r="C29" i="9"/>
  <c r="D30" i="9" s="1"/>
  <c r="E30" i="9" s="1"/>
  <c r="U20" i="5"/>
  <c r="V10" i="8"/>
  <c r="C19" i="11"/>
  <c r="D19" i="11" s="1"/>
  <c r="R6" i="10"/>
  <c r="R12" i="10" s="1"/>
  <c r="G18" i="18"/>
  <c r="G34" i="18" s="1"/>
  <c r="Q5" i="8"/>
  <c r="Q12" i="8" s="1"/>
  <c r="H24" i="17"/>
  <c r="G15" i="18"/>
  <c r="W21" i="5"/>
  <c r="S36" i="5"/>
  <c r="S11" i="8" s="1"/>
  <c r="S10" i="10"/>
  <c r="V9" i="10"/>
  <c r="D8" i="18"/>
  <c r="E8" i="17"/>
  <c r="E14" i="17" s="1"/>
  <c r="Q17" i="10"/>
  <c r="H6" i="17" s="1"/>
  <c r="T7" i="5"/>
  <c r="S6" i="5"/>
  <c r="S7" i="8" s="1"/>
  <c r="S9" i="5"/>
  <c r="S6" i="8" s="1"/>
  <c r="T10" i="5"/>
  <c r="R5" i="5"/>
  <c r="R4" i="5" s="1"/>
  <c r="S8" i="10" s="1"/>
  <c r="V29" i="5"/>
  <c r="V28" i="5" s="1"/>
  <c r="V9" i="8" s="1"/>
  <c r="C30" i="9" l="1"/>
  <c r="D31" i="9" s="1"/>
  <c r="V20" i="5"/>
  <c r="W10" i="8"/>
  <c r="C20" i="11"/>
  <c r="D20" i="11" s="1"/>
  <c r="G47" i="18"/>
  <c r="G11" i="18"/>
  <c r="G46" i="18" s="1"/>
  <c r="S6" i="10"/>
  <c r="C21" i="11" s="1"/>
  <c r="D21" i="11" s="1"/>
  <c r="R5" i="8"/>
  <c r="R12" i="8" s="1"/>
  <c r="R14" i="8" s="1"/>
  <c r="R15" i="8" s="1"/>
  <c r="T36" i="5"/>
  <c r="T11" i="8" s="1"/>
  <c r="T10" i="10"/>
  <c r="X21" i="5"/>
  <c r="W9" i="10"/>
  <c r="G8" i="18"/>
  <c r="H8" i="17"/>
  <c r="Q14" i="8"/>
  <c r="D35" i="18"/>
  <c r="D29" i="18"/>
  <c r="D5" i="18"/>
  <c r="D12" i="18"/>
  <c r="U7" i="5"/>
  <c r="T6" i="5"/>
  <c r="T7" i="8" s="1"/>
  <c r="S5" i="5"/>
  <c r="S4" i="5" s="1"/>
  <c r="T8" i="10" s="1"/>
  <c r="T9" i="5"/>
  <c r="T6" i="8" s="1"/>
  <c r="U10" i="5"/>
  <c r="W29" i="5"/>
  <c r="W28" i="5" s="1"/>
  <c r="W9" i="8" s="1"/>
  <c r="I17" i="10"/>
  <c r="X10" i="8" l="1"/>
  <c r="W20" i="5"/>
  <c r="S5" i="8"/>
  <c r="S12" i="8" s="1"/>
  <c r="G20" i="18"/>
  <c r="S12" i="10"/>
  <c r="U36" i="5"/>
  <c r="U11" i="8" s="1"/>
  <c r="U10" i="10"/>
  <c r="T6" i="10"/>
  <c r="C22" i="11" s="1"/>
  <c r="D22" i="11" s="1"/>
  <c r="Y21" i="5"/>
  <c r="X9" i="10"/>
  <c r="Q15" i="8"/>
  <c r="G35" i="18"/>
  <c r="G29" i="18"/>
  <c r="G5" i="18"/>
  <c r="H14" i="17"/>
  <c r="G12" i="18" s="1"/>
  <c r="D30" i="18"/>
  <c r="D27" i="18"/>
  <c r="D28" i="18"/>
  <c r="D36" i="18"/>
  <c r="D44" i="18"/>
  <c r="D41" i="18"/>
  <c r="I19" i="10"/>
  <c r="E31" i="9"/>
  <c r="R17" i="10"/>
  <c r="C31" i="9"/>
  <c r="V7" i="5"/>
  <c r="U6" i="5"/>
  <c r="U7" i="8" s="1"/>
  <c r="U9" i="5"/>
  <c r="U6" i="8" s="1"/>
  <c r="V10" i="5"/>
  <c r="T5" i="5"/>
  <c r="T4" i="5" s="1"/>
  <c r="U8" i="10" s="1"/>
  <c r="X29" i="5"/>
  <c r="X28" i="5" s="1"/>
  <c r="X9" i="8" s="1"/>
  <c r="Y10" i="8" l="1"/>
  <c r="X20" i="5"/>
  <c r="H18" i="18"/>
  <c r="H34" i="18" s="1"/>
  <c r="T5" i="8"/>
  <c r="T12" i="8" s="1"/>
  <c r="U6" i="10"/>
  <c r="U12" i="10" s="1"/>
  <c r="T12" i="10"/>
  <c r="Z9" i="10"/>
  <c r="Y9" i="10"/>
  <c r="V36" i="5"/>
  <c r="V11" i="8" s="1"/>
  <c r="V10" i="10"/>
  <c r="G28" i="18"/>
  <c r="G30" i="18"/>
  <c r="G27" i="18"/>
  <c r="S14" i="8"/>
  <c r="H15" i="18"/>
  <c r="G36" i="18"/>
  <c r="G41" i="18"/>
  <c r="G44" i="18"/>
  <c r="D32" i="9"/>
  <c r="C32" i="9" s="1"/>
  <c r="W7" i="5"/>
  <c r="V6" i="5"/>
  <c r="V7" i="8" s="1"/>
  <c r="U5" i="5"/>
  <c r="U4" i="5" s="1"/>
  <c r="V8" i="10" s="1"/>
  <c r="W10" i="5"/>
  <c r="V9" i="5"/>
  <c r="V6" i="8" s="1"/>
  <c r="Y29" i="5"/>
  <c r="Y28" i="5" s="1"/>
  <c r="Y9" i="8" s="1"/>
  <c r="Y20" i="5" l="1"/>
  <c r="H47" i="18"/>
  <c r="C23" i="11"/>
  <c r="D23" i="11" s="1"/>
  <c r="U5" i="8"/>
  <c r="U12" i="8" s="1"/>
  <c r="U14" i="8" s="1"/>
  <c r="U15" i="8" s="1"/>
  <c r="V6" i="10"/>
  <c r="V12" i="10" s="1"/>
  <c r="W36" i="5"/>
  <c r="W11" i="8" s="1"/>
  <c r="W10" i="10"/>
  <c r="T14" i="8"/>
  <c r="S15" i="8"/>
  <c r="I24" i="17"/>
  <c r="D33" i="9"/>
  <c r="C33" i="9" s="1"/>
  <c r="E32" i="9"/>
  <c r="S17" i="10"/>
  <c r="X7" i="5"/>
  <c r="W6" i="5"/>
  <c r="W7" i="8" s="1"/>
  <c r="W9" i="5"/>
  <c r="W6" i="8" s="1"/>
  <c r="X10" i="5"/>
  <c r="V5" i="5"/>
  <c r="V4" i="5" s="1"/>
  <c r="W8" i="10" s="1"/>
  <c r="V5" i="8" l="1"/>
  <c r="V12" i="8" s="1"/>
  <c r="V14" i="8" s="1"/>
  <c r="V15" i="8" s="1"/>
  <c r="C24" i="11"/>
  <c r="D24" i="11" s="1"/>
  <c r="W6" i="10"/>
  <c r="C25" i="11" s="1"/>
  <c r="D25" i="11" s="1"/>
  <c r="X36" i="5"/>
  <c r="X11" i="8" s="1"/>
  <c r="X10" i="10"/>
  <c r="T15" i="8"/>
  <c r="H11" i="18"/>
  <c r="B18" i="12"/>
  <c r="D18" i="12" s="1"/>
  <c r="G18" i="12" s="1"/>
  <c r="D34" i="9"/>
  <c r="C34" i="9" s="1"/>
  <c r="E33" i="9"/>
  <c r="T17" i="10"/>
  <c r="I6" i="17" s="1"/>
  <c r="Y7" i="5"/>
  <c r="X6" i="5"/>
  <c r="X7" i="8" s="1"/>
  <c r="W5" i="5"/>
  <c r="W4" i="5" s="1"/>
  <c r="X8" i="10" s="1"/>
  <c r="Y10" i="5"/>
  <c r="Y9" i="5" s="1"/>
  <c r="Y6" i="8" s="1"/>
  <c r="X9" i="5"/>
  <c r="X6" i="8" s="1"/>
  <c r="I15" i="18" l="1"/>
  <c r="J24" i="17"/>
  <c r="I18" i="18"/>
  <c r="I47" i="18" s="1"/>
  <c r="X6" i="10"/>
  <c r="X12" i="10" s="1"/>
  <c r="W5" i="8"/>
  <c r="W12" i="8" s="1"/>
  <c r="W12" i="10"/>
  <c r="Y36" i="5"/>
  <c r="Y11" i="8" s="1"/>
  <c r="Y10" i="10"/>
  <c r="H8" i="18"/>
  <c r="I8" i="17"/>
  <c r="H20" i="18"/>
  <c r="H46" i="18"/>
  <c r="B11" i="12"/>
  <c r="D35" i="9"/>
  <c r="C35" i="9" s="1"/>
  <c r="E34" i="9"/>
  <c r="U17" i="10"/>
  <c r="Y6" i="5"/>
  <c r="B19" i="12"/>
  <c r="X5" i="5"/>
  <c r="X4" i="5" s="1"/>
  <c r="Y8" i="10" s="1"/>
  <c r="B14" i="12" l="1"/>
  <c r="A28" i="12" s="1"/>
  <c r="Y5" i="5"/>
  <c r="Y4" i="5" s="1"/>
  <c r="Z8" i="10" s="1"/>
  <c r="Y7" i="8"/>
  <c r="Y5" i="8" s="1"/>
  <c r="I11" i="18"/>
  <c r="I46" i="18" s="1"/>
  <c r="I34" i="18"/>
  <c r="C26" i="11"/>
  <c r="D26" i="11" s="1"/>
  <c r="X5" i="8"/>
  <c r="X12" i="8" s="1"/>
  <c r="X14" i="8" s="1"/>
  <c r="X15" i="8" s="1"/>
  <c r="Y6" i="10"/>
  <c r="Y12" i="10" s="1"/>
  <c r="Z10" i="10"/>
  <c r="W14" i="8"/>
  <c r="H35" i="18"/>
  <c r="H29" i="18"/>
  <c r="H5" i="18"/>
  <c r="I14" i="17"/>
  <c r="H12" i="18" s="1"/>
  <c r="D36" i="9"/>
  <c r="C36" i="9" s="1"/>
  <c r="E35" i="9"/>
  <c r="V17" i="10"/>
  <c r="B20" i="12"/>
  <c r="A29" i="12" l="1"/>
  <c r="C28" i="12"/>
  <c r="F28" i="12"/>
  <c r="A19" i="12"/>
  <c r="A20" i="12" s="1"/>
  <c r="A21" i="12" s="1"/>
  <c r="F21" i="12" s="1"/>
  <c r="Z6" i="10"/>
  <c r="C28" i="11" s="1"/>
  <c r="D28" i="11" s="1"/>
  <c r="I20" i="18"/>
  <c r="C27" i="11"/>
  <c r="D27" i="11" s="1"/>
  <c r="Y12" i="8"/>
  <c r="J18" i="18"/>
  <c r="J47" i="18" s="1"/>
  <c r="H30" i="18"/>
  <c r="H27" i="18"/>
  <c r="H28" i="18"/>
  <c r="W15" i="8"/>
  <c r="H41" i="18"/>
  <c r="H36" i="18"/>
  <c r="H44" i="18"/>
  <c r="D37" i="9"/>
  <c r="C37" i="9" s="1"/>
  <c r="E36" i="9"/>
  <c r="W17" i="10"/>
  <c r="J6" i="17" s="1"/>
  <c r="B21" i="12"/>
  <c r="A22" i="12" l="1"/>
  <c r="C22" i="12" s="1"/>
  <c r="C19" i="12"/>
  <c r="D19" i="12" s="1"/>
  <c r="E19" i="12" s="1"/>
  <c r="C20" i="12"/>
  <c r="D20" i="12" s="1"/>
  <c r="E20" i="12" s="1"/>
  <c r="F20" i="12"/>
  <c r="F19" i="12"/>
  <c r="C21" i="12"/>
  <c r="D21" i="12" s="1"/>
  <c r="A30" i="12"/>
  <c r="C29" i="12"/>
  <c r="F29" i="12"/>
  <c r="Z12" i="10"/>
  <c r="J34" i="18"/>
  <c r="Y14" i="8"/>
  <c r="Y15" i="8" s="1"/>
  <c r="J15" i="18"/>
  <c r="I8" i="18"/>
  <c r="J8" i="17"/>
  <c r="D38" i="9"/>
  <c r="C38" i="9" s="1"/>
  <c r="E37" i="9"/>
  <c r="X17" i="10"/>
  <c r="B22" i="12"/>
  <c r="M17" i="10"/>
  <c r="G20" i="12" l="1"/>
  <c r="A23" i="12"/>
  <c r="A24" i="12" s="1"/>
  <c r="C24" i="12" s="1"/>
  <c r="G19" i="12"/>
  <c r="F22" i="12"/>
  <c r="A31" i="12"/>
  <c r="C30" i="12"/>
  <c r="F30" i="12"/>
  <c r="K24" i="17"/>
  <c r="I35" i="18"/>
  <c r="I29" i="18"/>
  <c r="I5" i="18"/>
  <c r="J14" i="17"/>
  <c r="I12" i="18" s="1"/>
  <c r="D39" i="9"/>
  <c r="C39" i="9" s="1"/>
  <c r="E38" i="9"/>
  <c r="Y17" i="10"/>
  <c r="E21" i="12"/>
  <c r="G21" i="12"/>
  <c r="A25" i="12"/>
  <c r="D22" i="12"/>
  <c r="B23" i="12"/>
  <c r="F24" i="12" l="1"/>
  <c r="F23" i="12"/>
  <c r="C23" i="12"/>
  <c r="D23" i="12" s="1"/>
  <c r="C31" i="12"/>
  <c r="F31" i="12"/>
  <c r="A32" i="12"/>
  <c r="J11" i="18"/>
  <c r="I30" i="18"/>
  <c r="I27" i="18"/>
  <c r="I28" i="18"/>
  <c r="I41" i="18"/>
  <c r="I36" i="18"/>
  <c r="I44" i="18"/>
  <c r="E39" i="9"/>
  <c r="Z17" i="10"/>
  <c r="B24" i="12"/>
  <c r="F25" i="12"/>
  <c r="C25" i="12"/>
  <c r="A26" i="12"/>
  <c r="E22" i="12"/>
  <c r="G22" i="12"/>
  <c r="N17" i="10"/>
  <c r="C32" i="12" l="1"/>
  <c r="F32" i="12"/>
  <c r="K6" i="17"/>
  <c r="J8" i="18" s="1"/>
  <c r="J20" i="18"/>
  <c r="J46" i="18"/>
  <c r="C26" i="12"/>
  <c r="F26" i="12"/>
  <c r="A27" i="12"/>
  <c r="D24" i="12"/>
  <c r="B25" i="12"/>
  <c r="E23" i="12"/>
  <c r="G23" i="12"/>
  <c r="K8" i="17" l="1"/>
  <c r="J5" i="18" s="1"/>
  <c r="J35" i="18"/>
  <c r="J29" i="18"/>
  <c r="B26" i="12"/>
  <c r="D25" i="12"/>
  <c r="F27" i="12"/>
  <c r="C27" i="12"/>
  <c r="E24" i="12"/>
  <c r="G24" i="12"/>
  <c r="K14" i="17" l="1"/>
  <c r="J12" i="18" s="1"/>
  <c r="J41" i="18" s="1"/>
  <c r="J30" i="18"/>
  <c r="J27" i="18"/>
  <c r="J28" i="18"/>
  <c r="E25" i="12"/>
  <c r="G25" i="12"/>
  <c r="D26" i="12"/>
  <c r="B27" i="12"/>
  <c r="J44" i="18" l="1"/>
  <c r="J36" i="18"/>
  <c r="B28" i="12"/>
  <c r="D28" i="12" s="1"/>
  <c r="D27" i="12"/>
  <c r="E26" i="12"/>
  <c r="G26" i="12"/>
  <c r="E28" i="12" l="1"/>
  <c r="G28" i="12"/>
  <c r="B29" i="12"/>
  <c r="E27" i="12"/>
  <c r="G27" i="12"/>
  <c r="B30" i="12" l="1"/>
  <c r="D29" i="12"/>
  <c r="E29" i="12" l="1"/>
  <c r="G29" i="12"/>
  <c r="D30" i="12"/>
  <c r="B31" i="12"/>
  <c r="B32" i="12" l="1"/>
  <c r="D32" i="12" s="1"/>
  <c r="D31" i="12"/>
  <c r="E30" i="12"/>
  <c r="G30" i="12"/>
  <c r="E31" i="12" l="1"/>
  <c r="G31" i="12"/>
  <c r="E32" i="12"/>
  <c r="G32" i="12"/>
  <c r="C51" i="9" l="1"/>
  <c r="D52" i="9" s="1"/>
  <c r="K14" i="10" s="1"/>
  <c r="J14" i="10"/>
  <c r="E51" i="9"/>
  <c r="J15" i="10" s="1"/>
  <c r="E52" i="9" l="1"/>
  <c r="K15" i="10" s="1"/>
  <c r="E21" i="18" s="1"/>
  <c r="J17" i="10"/>
  <c r="C52" i="9"/>
  <c r="F19" i="17" s="1"/>
  <c r="K17" i="10" l="1"/>
  <c r="F6" i="17" s="1"/>
  <c r="F20" i="17"/>
  <c r="E53" i="9"/>
  <c r="J19" i="10"/>
  <c r="K19" i="10" l="1"/>
  <c r="F21" i="17"/>
  <c r="F27" i="17" s="1"/>
  <c r="E6" i="18"/>
  <c r="E8" i="18"/>
  <c r="F8" i="17"/>
  <c r="H53" i="9"/>
  <c r="L15" i="10"/>
  <c r="F21" i="18" s="1"/>
  <c r="D53" i="9" l="1"/>
  <c r="C53" i="9" s="1"/>
  <c r="E14" i="18"/>
  <c r="E40" i="18" s="1"/>
  <c r="E35" i="18"/>
  <c r="E29" i="18"/>
  <c r="E5" i="18"/>
  <c r="F14" i="17"/>
  <c r="E12" i="18" s="1"/>
  <c r="L14" i="10" l="1"/>
  <c r="K9" i="8"/>
  <c r="K5" i="8" s="1"/>
  <c r="L10" i="10"/>
  <c r="L6" i="10" s="1"/>
  <c r="C9" i="18"/>
  <c r="E30" i="18"/>
  <c r="E27" i="18"/>
  <c r="E28" i="18"/>
  <c r="E36" i="18"/>
  <c r="E41" i="18"/>
  <c r="E44" i="18"/>
  <c r="C14" i="11" l="1"/>
  <c r="L12" i="10"/>
  <c r="K12" i="8"/>
  <c r="F18" i="18"/>
  <c r="C40" i="18"/>
  <c r="C45" i="18"/>
  <c r="B22" i="10" l="1"/>
  <c r="D14" i="11"/>
  <c r="D29" i="11" s="1"/>
  <c r="F34" i="18"/>
  <c r="F47" i="18"/>
  <c r="L17" i="10"/>
  <c r="K14" i="8"/>
  <c r="F15" i="18"/>
  <c r="K15" i="8" l="1"/>
  <c r="G24" i="17"/>
  <c r="B21" i="10"/>
  <c r="B20" i="10"/>
  <c r="G6" i="17"/>
  <c r="L19" i="10"/>
  <c r="M19" i="10" s="1"/>
  <c r="N19" i="10" s="1"/>
  <c r="O19" i="10" s="1"/>
  <c r="P19" i="10" s="1"/>
  <c r="Q19" i="10" s="1"/>
  <c r="R19" i="10" s="1"/>
  <c r="S19" i="10" s="1"/>
  <c r="T19" i="10" s="1"/>
  <c r="U19" i="10" s="1"/>
  <c r="V19" i="10" s="1"/>
  <c r="W19" i="10" s="1"/>
  <c r="X19" i="10" s="1"/>
  <c r="Y19" i="10" s="1"/>
  <c r="Z19" i="10" s="1"/>
  <c r="F11" i="18" l="1"/>
  <c r="H25" i="17"/>
  <c r="G26" i="17"/>
  <c r="G27" i="17" s="1"/>
  <c r="G8" i="17"/>
  <c r="F8" i="18"/>
  <c r="H26" i="17" l="1"/>
  <c r="I25" i="17"/>
  <c r="G14" i="17"/>
  <c r="F12" i="18" s="1"/>
  <c r="F44" i="18" s="1"/>
  <c r="F5" i="18"/>
  <c r="F9" i="18"/>
  <c r="F40" i="18" s="1"/>
  <c r="F35" i="18"/>
  <c r="F29" i="18"/>
  <c r="F20" i="18"/>
  <c r="F46" i="18"/>
  <c r="F45" i="18" l="1"/>
  <c r="F30" i="18"/>
  <c r="F27" i="18"/>
  <c r="F28" i="18"/>
  <c r="F41" i="18"/>
  <c r="F36" i="18"/>
  <c r="I26" i="17"/>
  <c r="J25" i="17"/>
  <c r="G9" i="18"/>
  <c r="H27" i="17"/>
  <c r="G40" i="18" l="1"/>
  <c r="G45" i="18"/>
  <c r="J26" i="17"/>
  <c r="K25" i="17"/>
  <c r="K26" i="17" s="1"/>
  <c r="H9" i="18"/>
  <c r="I27" i="17"/>
  <c r="H45" i="18" l="1"/>
  <c r="H40" i="18"/>
  <c r="J9" i="18"/>
  <c r="K27" i="17"/>
  <c r="I9" i="18"/>
  <c r="J27" i="17"/>
  <c r="I40" i="18" l="1"/>
  <c r="I45" i="18"/>
  <c r="J40" i="18"/>
  <c r="J45" i="18"/>
</calcChain>
</file>

<file path=xl/comments1.xml><?xml version="1.0" encoding="utf-8"?>
<comments xmlns="http://schemas.openxmlformats.org/spreadsheetml/2006/main">
  <authors>
    <author>PC_14</author>
  </authors>
  <commentList>
    <comment ref="B19" authorId="0">
      <text>
        <r>
          <rPr>
            <b/>
            <sz val="8"/>
            <color indexed="81"/>
            <rFont val="Tahoma"/>
            <family val="2"/>
          </rPr>
          <t>PC_14:</t>
        </r>
        <r>
          <rPr>
            <sz val="8"/>
            <color indexed="81"/>
            <rFont val="Tahoma"/>
            <family val="2"/>
          </rPr>
          <t xml:space="preserve">
ES LA RELACION Q EXISTE ENTRE LA MP Y EL %</t>
        </r>
      </text>
    </comment>
  </commentList>
</comments>
</file>

<file path=xl/comments2.xml><?xml version="1.0" encoding="utf-8"?>
<comments xmlns="http://schemas.openxmlformats.org/spreadsheetml/2006/main">
  <authors>
    <author>Luffi</author>
  </authors>
  <commentList>
    <comment ref="B27" authorId="0">
      <text>
        <r>
          <rPr>
            <b/>
            <sz val="9"/>
            <color indexed="81"/>
            <rFont val="Tahoma"/>
            <charset val="1"/>
          </rPr>
          <t>Luffi:</t>
        </r>
        <r>
          <rPr>
            <sz val="9"/>
            <color indexed="81"/>
            <rFont val="Tahoma"/>
            <charset val="1"/>
          </rPr>
          <t xml:space="preserve">
Por cada S/.1.00 que se cuenta en nuestra activo a corto plazo, podemos responder ante nuestras deuda en S/.3.48 
</t>
        </r>
      </text>
    </comment>
    <comment ref="B36" authorId="0">
      <text>
        <r>
          <rPr>
            <b/>
            <sz val="9"/>
            <color indexed="81"/>
            <rFont val="Tahoma"/>
            <charset val="1"/>
          </rPr>
          <t>Luffi:</t>
        </r>
        <r>
          <rPr>
            <sz val="9"/>
            <color indexed="81"/>
            <rFont val="Tahoma"/>
            <charset val="1"/>
          </rPr>
          <t xml:space="preserve">
En nuestro primer trimestre se utilizaran todos nuestros activos totales en 1.90 veces.
</t>
        </r>
      </text>
    </comment>
    <comment ref="B41" authorId="0">
      <text>
        <r>
          <rPr>
            <b/>
            <sz val="9"/>
            <color indexed="81"/>
            <rFont val="Tahoma"/>
            <charset val="1"/>
          </rPr>
          <t>Luffi:</t>
        </r>
        <r>
          <rPr>
            <sz val="9"/>
            <color indexed="81"/>
            <rFont val="Tahoma"/>
            <charset val="1"/>
          </rPr>
          <t xml:space="preserve">
Nuestro capital esta comprometido en un 22 %  con respecto al total de deudas.
</t>
        </r>
      </text>
    </comment>
    <comment ref="B43" authorId="0">
      <text>
        <r>
          <rPr>
            <b/>
            <sz val="9"/>
            <color indexed="81"/>
            <rFont val="Tahoma"/>
            <charset val="1"/>
          </rPr>
          <t>Luffi:</t>
        </r>
        <r>
          <rPr>
            <sz val="9"/>
            <color indexed="81"/>
            <rFont val="Tahoma"/>
            <charset val="1"/>
          </rPr>
          <t xml:space="preserve">
Influencia  sobre la utilidad neta, las ventas.
</t>
        </r>
      </text>
    </comment>
  </commentList>
</comments>
</file>

<file path=xl/sharedStrings.xml><?xml version="1.0" encoding="utf-8"?>
<sst xmlns="http://schemas.openxmlformats.org/spreadsheetml/2006/main" count="843" uniqueCount="580">
  <si>
    <t>RUBRO</t>
  </si>
  <si>
    <t>VALOR UNITARIO</t>
  </si>
  <si>
    <t>COSTO TOTAL</t>
  </si>
  <si>
    <t>I. ACTIVO FIJO</t>
  </si>
  <si>
    <t>Terreno y/o infraestructura</t>
  </si>
  <si>
    <t>Acondicionamiento del local</t>
  </si>
  <si>
    <t>Maquinaria y/o equipos</t>
  </si>
  <si>
    <t>Unidad</t>
  </si>
  <si>
    <t>Muebles y enseres</t>
  </si>
  <si>
    <t>millar</t>
  </si>
  <si>
    <t>alquiler de local</t>
  </si>
  <si>
    <t>Luz y agua</t>
  </si>
  <si>
    <t>Telefono</t>
  </si>
  <si>
    <t xml:space="preserve">Mantenimiento de local </t>
  </si>
  <si>
    <t>Television por Cable</t>
  </si>
  <si>
    <t>Gastos de venta</t>
  </si>
  <si>
    <t>volantes</t>
  </si>
  <si>
    <t>ciento</t>
  </si>
  <si>
    <t>Publicidad en radio</t>
  </si>
  <si>
    <t>avisos</t>
  </si>
  <si>
    <t>marketing televisivo</t>
  </si>
  <si>
    <t>CANTIDAD</t>
  </si>
  <si>
    <t>UNID.</t>
  </si>
  <si>
    <t>CANT.</t>
  </si>
  <si>
    <t>SILLAS GIRATORIOS</t>
  </si>
  <si>
    <t>COMPROBANTES DE PAGO</t>
  </si>
  <si>
    <t>LIC. DE FUNCIONAMIENTO</t>
  </si>
  <si>
    <t>LIC. DE PUBLICIDAD</t>
  </si>
  <si>
    <t>SUNAT (GRATUITO)</t>
  </si>
  <si>
    <t>ELABORACION DE ESTATUTO</t>
  </si>
  <si>
    <t>NOTARIA</t>
  </si>
  <si>
    <t>INSCRIPCION DE REGUSTROS PUBLICOS</t>
  </si>
  <si>
    <t>DEFENSA CIVIL</t>
  </si>
  <si>
    <t>EXTINTOR</t>
  </si>
  <si>
    <t>BOTIQUIN</t>
  </si>
  <si>
    <t>ELABORACION DE PLAN DE NEGOCIOS</t>
  </si>
  <si>
    <t>documento</t>
  </si>
  <si>
    <t>TOTAL CAPITAL DE TRABAJO</t>
  </si>
  <si>
    <t>FUENTE: ELABORACION PROPIA</t>
  </si>
  <si>
    <t>ESTRUCTURA DE LA INVERSION</t>
  </si>
  <si>
    <t>FUENTES DE FINANCIAMIENTO</t>
  </si>
  <si>
    <t>FUENTE</t>
  </si>
  <si>
    <t>DESTINO</t>
  </si>
  <si>
    <t>%</t>
  </si>
  <si>
    <t>APORTE PROPIO</t>
  </si>
  <si>
    <t>PRESTAMO</t>
  </si>
  <si>
    <t>TOTAL</t>
  </si>
  <si>
    <t>CAPITAL DE TRABAJO</t>
  </si>
  <si>
    <t>A. TANGIBLES</t>
  </si>
  <si>
    <t>TOTAL TANGIBLES</t>
  </si>
  <si>
    <t>B. INTANGIBLES</t>
  </si>
  <si>
    <t>TOTAL INTANGIBLES</t>
  </si>
  <si>
    <t>II. CAPITAL DE TRABAJO</t>
  </si>
  <si>
    <t>TOTAL ACTIVO FIJO</t>
  </si>
  <si>
    <t>INVERSION FIJA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</si>
  <si>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</si>
  <si>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</si>
  <si>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</si>
  <si>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</si>
  <si>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</si>
  <si>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</si>
  <si>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</si>
  <si>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</si>
  <si>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</si>
  <si>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</si>
  <si>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</si>
  <si>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</si>
  <si>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P. U.</t>
  </si>
  <si>
    <t>PROYECCION DE VENTAS</t>
  </si>
  <si>
    <t>Mes 13</t>
  </si>
  <si>
    <t>Mes 14</t>
  </si>
  <si>
    <t>Mes 15</t>
  </si>
  <si>
    <t>Mes 16</t>
  </si>
  <si>
    <t>Mes 17</t>
  </si>
  <si>
    <t>Mes 18</t>
  </si>
  <si>
    <t>Mes 19</t>
  </si>
  <si>
    <t>Mes 20</t>
  </si>
  <si>
    <t>Mes 21</t>
  </si>
  <si>
    <t>Mes 22</t>
  </si>
  <si>
    <t>Mes 23</t>
  </si>
  <si>
    <t>Mes 24</t>
  </si>
  <si>
    <t>TOTAL VENTAS</t>
  </si>
  <si>
    <t>PRESUPUESTO DE GASTOS</t>
  </si>
  <si>
    <t>CONCEPTO</t>
  </si>
  <si>
    <t>A.- COSTOS DIRECTOS</t>
  </si>
  <si>
    <t>MANO DE OBRA DIRECTA</t>
  </si>
  <si>
    <t>B.- COSTOS INDIRECTOS</t>
  </si>
  <si>
    <t>GASTOS DE OPERACIÓN</t>
  </si>
  <si>
    <t>A.- GASTOS DE VENTAS</t>
  </si>
  <si>
    <t>B.- GASTOS ADMINISTRACION</t>
  </si>
  <si>
    <t>GASTOS OPERATIVOS</t>
  </si>
  <si>
    <t>DESCRIPCION</t>
  </si>
  <si>
    <t>SUELDO MES</t>
  </si>
  <si>
    <t>SUELDO MES TOTAL</t>
  </si>
  <si>
    <t>AFP</t>
  </si>
  <si>
    <t>ESSALUD</t>
  </si>
  <si>
    <t>TOTAL PLANILLA</t>
  </si>
  <si>
    <t>APORTES A PAGAR</t>
  </si>
  <si>
    <t xml:space="preserve">Sueldos </t>
  </si>
  <si>
    <t>Gratificaciones</t>
  </si>
  <si>
    <t>II. MANO DE OBRA DIRECTA</t>
  </si>
  <si>
    <t>Planilla de Empleados</t>
  </si>
  <si>
    <t>DEPRECIACION DE MAQUINARIA MUEBLES Y ENSERES</t>
  </si>
  <si>
    <t>DEPRECIACION MES</t>
  </si>
  <si>
    <t>DEPRECIACION MENSUAL</t>
  </si>
  <si>
    <t>VIDA UTIL (MESES)</t>
  </si>
  <si>
    <t>MAQUINARIA Y EQUIPOS</t>
  </si>
  <si>
    <t>MUEBLES Y ENSERES</t>
  </si>
  <si>
    <t>TANGIBLES</t>
  </si>
  <si>
    <t>Depreciación</t>
  </si>
  <si>
    <t>ESTADO DE PÉRDIDAS Y GANANCIAS</t>
  </si>
  <si>
    <t>A. INGRESOS</t>
  </si>
  <si>
    <t>B. COSTOS</t>
  </si>
  <si>
    <t>C. UTILIDAD BRUTA</t>
  </si>
  <si>
    <t>UTILIDAD NETA</t>
  </si>
  <si>
    <t>Mano de obra directa</t>
  </si>
  <si>
    <t>Costos Indirectos</t>
  </si>
  <si>
    <t>Administración</t>
  </si>
  <si>
    <t>Ventas</t>
  </si>
  <si>
    <t>Depreciación equipo</t>
  </si>
  <si>
    <t>MES</t>
  </si>
  <si>
    <t>SALDO</t>
  </si>
  <si>
    <t>INTERES</t>
  </si>
  <si>
    <t>CUOTA</t>
  </si>
  <si>
    <t>CRONOGRAMA DE PAGOS</t>
  </si>
  <si>
    <t>FLUJO ECONÓMICO ‑ FINANCIERO</t>
  </si>
  <si>
    <t>COK</t>
  </si>
  <si>
    <t>INGRESOS</t>
  </si>
  <si>
    <t>COSTOS</t>
  </si>
  <si>
    <t>Inversión</t>
  </si>
  <si>
    <t>Costos de Producción (1)</t>
  </si>
  <si>
    <t>Gastos de Ventas</t>
  </si>
  <si>
    <t>Gastos Administrativos (2)</t>
  </si>
  <si>
    <t>FLUJO ECONÓMICO</t>
  </si>
  <si>
    <t>Préstamo</t>
  </si>
  <si>
    <t>Amortización</t>
  </si>
  <si>
    <t>Intereses</t>
  </si>
  <si>
    <t>FLUJO FINANCIERO</t>
  </si>
  <si>
    <t>Aporte propio</t>
  </si>
  <si>
    <t>Saldo acumulado</t>
  </si>
  <si>
    <t>MESES</t>
  </si>
  <si>
    <t>PUNTO DE EQUILIBRIO</t>
  </si>
  <si>
    <t>UNIDADES</t>
  </si>
  <si>
    <t>COSTES FIJOS</t>
  </si>
  <si>
    <t>COSTES VARIABLES</t>
  </si>
  <si>
    <t>COSTES TOTALES</t>
  </si>
  <si>
    <t>COSTES MEDIOS</t>
  </si>
  <si>
    <t>BENEFICIOS</t>
  </si>
  <si>
    <t>SEPARACION DE NOMBRE COMERCIAL</t>
  </si>
  <si>
    <t>PONDERACION</t>
  </si>
  <si>
    <t xml:space="preserve">COSTO FIJO </t>
  </si>
  <si>
    <t>PRECIO VENTA PONDERADO</t>
  </si>
  <si>
    <t>COSTO VARIABLE PONDERADO</t>
  </si>
  <si>
    <t>PRECIO DE VENTA</t>
  </si>
  <si>
    <t>COSTO VARIABLE MENSUAL</t>
  </si>
  <si>
    <t>COSTO FIJO PONDERADO</t>
  </si>
  <si>
    <t>PRECIO UNITARIO PONDERADO</t>
  </si>
  <si>
    <t>COSTES VARABLES UNITARIOS PONDERADO</t>
  </si>
  <si>
    <t>TOTAL PONDERACIONES</t>
  </si>
  <si>
    <t>UMBRAL DE RENTABILIDAD PONDERADA UNID</t>
  </si>
  <si>
    <t>LOCALIZACION</t>
  </si>
  <si>
    <t xml:space="preserve">CRITERIO DE CALIFICACION PONDERADA </t>
  </si>
  <si>
    <t xml:space="preserve">CRITERIO </t>
  </si>
  <si>
    <t xml:space="preserve">PONDERADA </t>
  </si>
  <si>
    <t>Muy Bueno</t>
  </si>
  <si>
    <t>Bueno</t>
  </si>
  <si>
    <t>Regular</t>
  </si>
  <si>
    <t>Mediano Regular</t>
  </si>
  <si>
    <t>Malo</t>
  </si>
  <si>
    <t>Factor Locacional</t>
  </si>
  <si>
    <t>Peso  Relativo</t>
  </si>
  <si>
    <t>Calle Pichincha</t>
  </si>
  <si>
    <t>Calle Moquegua</t>
  </si>
  <si>
    <t>Calle Zepita</t>
  </si>
  <si>
    <t>Calificacion</t>
  </si>
  <si>
    <t>Ponderacion</t>
  </si>
  <si>
    <t xml:space="preserve">1.- Disponibilidad De Area  </t>
  </si>
  <si>
    <t>2.- Contaminacion Ambiental</t>
  </si>
  <si>
    <t>3.- Extencion del Local</t>
  </si>
  <si>
    <t xml:space="preserve">4.- Existencia de Energia Electrica </t>
  </si>
  <si>
    <t xml:space="preserve">5.- Zona Estrategica </t>
  </si>
  <si>
    <t xml:space="preserve">TOTAL </t>
  </si>
  <si>
    <t xml:space="preserve">INTERPRETACION DE LOS RESULTADOS Y DECISIÓN FINAL </t>
  </si>
  <si>
    <t xml:space="preserve">Se escoge la alterntiva de localizacion a nivel macro a la calle Pichincha por tener una ponderacion mayor a las otras alternativas. En el caso que no se pudiera implementar en la Calle Pichincha se escoge la calle Moquegua por estar en segundo lugar   </t>
  </si>
  <si>
    <t>MANO DE OBRA INDIRECTA</t>
  </si>
  <si>
    <t>TEM</t>
  </si>
  <si>
    <t>TEM SEG DES</t>
  </si>
  <si>
    <t>TEM TOTAL</t>
  </si>
  <si>
    <t>MONTO</t>
  </si>
  <si>
    <t>TEA</t>
  </si>
  <si>
    <t>PLAZO</t>
  </si>
  <si>
    <t>SEG DESG</t>
  </si>
  <si>
    <t>AMORT.</t>
  </si>
  <si>
    <t>ADMINISTRADOR</t>
  </si>
  <si>
    <t>RENTABILIDAD DE VENTAS ((UTILIDAD NETA/INGRESOS)*100)</t>
  </si>
  <si>
    <t>TIRF</t>
  </si>
  <si>
    <t>VANF</t>
  </si>
  <si>
    <t>ACTIVO/</t>
  </si>
  <si>
    <t>Activo Corriente/</t>
  </si>
  <si>
    <t>CyB</t>
  </si>
  <si>
    <t>Caja y Bancos/</t>
  </si>
  <si>
    <t>CPCC</t>
  </si>
  <si>
    <t>Exit</t>
  </si>
  <si>
    <t>Existencias/</t>
  </si>
  <si>
    <t>TOTAL ACTIVO CORRIENTE/</t>
  </si>
  <si>
    <t>Activo No Corriente/</t>
  </si>
  <si>
    <t>IME</t>
  </si>
  <si>
    <t>Inmueble Maquinaria y Eq</t>
  </si>
  <si>
    <t>AIN</t>
  </si>
  <si>
    <t>Activos Intangibles (neto)/</t>
  </si>
  <si>
    <t>TOTAL ACTIVO NO CORRIENTE/</t>
  </si>
  <si>
    <t>TOTAL ACTIVO/</t>
  </si>
  <si>
    <t>Pasivo Corriente/</t>
  </si>
  <si>
    <t>CPPC</t>
  </si>
  <si>
    <t>Cuentas por Pagar Comerciales/</t>
  </si>
  <si>
    <t>CPPER</t>
  </si>
  <si>
    <t>TOTAL PASIVO CORRIENTE/</t>
  </si>
  <si>
    <t>TOTAL PASIVO/</t>
  </si>
  <si>
    <t>PATRIMONIO NETO/</t>
  </si>
  <si>
    <t>Capi</t>
  </si>
  <si>
    <t>Capital/</t>
  </si>
  <si>
    <t>ORC</t>
  </si>
  <si>
    <t>TOTAL PATRIMONIO NETO/</t>
  </si>
  <si>
    <t>TOTAL PASIVO Y PATRIMONIO NETO/</t>
  </si>
  <si>
    <t>1ER TRIMESTRE</t>
  </si>
  <si>
    <t>2DO TRIMESTRE</t>
  </si>
  <si>
    <t>3ER TRIMESTRE</t>
  </si>
  <si>
    <t>4TO TRIMESTRE</t>
  </si>
  <si>
    <t>5TO TRIMESTRE</t>
  </si>
  <si>
    <t>6TO TRIMESTRE</t>
  </si>
  <si>
    <t>7MO TRIMESTRE</t>
  </si>
  <si>
    <t>8VO TRIMESTRE</t>
  </si>
  <si>
    <t>Estado de Situación Financiera Balance General</t>
  </si>
  <si>
    <t>1.1.1</t>
  </si>
  <si>
    <t>1.1.2</t>
  </si>
  <si>
    <t>1.2.</t>
  </si>
  <si>
    <t>1.2.1</t>
  </si>
  <si>
    <t>1.2.2</t>
  </si>
  <si>
    <t>1.2.3</t>
  </si>
  <si>
    <t>PASIVO Y PATRIMONIO</t>
  </si>
  <si>
    <t>2.1.1</t>
  </si>
  <si>
    <t>2.1.2</t>
  </si>
  <si>
    <t>2.1.3</t>
  </si>
  <si>
    <t>2.4.1</t>
  </si>
  <si>
    <t>2.4.6</t>
  </si>
  <si>
    <t>2.4.7</t>
  </si>
  <si>
    <t>AMORTIZACION</t>
  </si>
  <si>
    <t>TOTAL PAGO</t>
  </si>
  <si>
    <t xml:space="preserve">TIR </t>
  </si>
  <si>
    <t xml:space="preserve">VAN </t>
  </si>
  <si>
    <t>DEPR</t>
  </si>
  <si>
    <t>Depreciacion Acumulada /</t>
  </si>
  <si>
    <t>Cuentas por Pagar a Entidades Financieras/</t>
  </si>
  <si>
    <t>Utilidad del Ejercicio</t>
  </si>
  <si>
    <t>Util</t>
  </si>
  <si>
    <t>Utilidad de Trimestres pasados</t>
  </si>
  <si>
    <t>Tributos por Pagar</t>
  </si>
  <si>
    <t>TribxP</t>
  </si>
  <si>
    <t>AC</t>
  </si>
  <si>
    <t>Activo Corriente</t>
  </si>
  <si>
    <t>PC</t>
  </si>
  <si>
    <t>Pasivo Corriente</t>
  </si>
  <si>
    <t>Existencias</t>
  </si>
  <si>
    <t>Caja y Bancos</t>
  </si>
  <si>
    <t>Patri</t>
  </si>
  <si>
    <t>Patrimonio</t>
  </si>
  <si>
    <t>PNC</t>
  </si>
  <si>
    <t>Pasivo No Corriente</t>
  </si>
  <si>
    <t>UN</t>
  </si>
  <si>
    <t>Utilidad Neta</t>
  </si>
  <si>
    <t>TA</t>
  </si>
  <si>
    <t>Total Activo</t>
  </si>
  <si>
    <t>TP</t>
  </si>
  <si>
    <t>Total Pasivo</t>
  </si>
  <si>
    <t>UB</t>
  </si>
  <si>
    <t>Utilidad Bruta</t>
  </si>
  <si>
    <t>VN</t>
  </si>
  <si>
    <t>Ventas Netas</t>
  </si>
  <si>
    <t>Cuentas por Cobrar Comerciales</t>
  </si>
  <si>
    <t>CV</t>
  </si>
  <si>
    <t>Costo de Ventas</t>
  </si>
  <si>
    <t>AF</t>
  </si>
  <si>
    <t>Activo fijo</t>
  </si>
  <si>
    <t>UAI</t>
  </si>
  <si>
    <t>Utilidad antes de los impuestos</t>
  </si>
  <si>
    <t>GF</t>
  </si>
  <si>
    <t>Gastos financieros</t>
  </si>
  <si>
    <t>GO</t>
  </si>
  <si>
    <t>Gastos operacionales</t>
  </si>
  <si>
    <t>CS</t>
  </si>
  <si>
    <t>Capital social</t>
  </si>
  <si>
    <t>1. RATIOS DE LIQUIDEZ</t>
  </si>
  <si>
    <t>Liquidez General (AC/PC)</t>
  </si>
  <si>
    <t>Prueba Acida ( (AC-EXIS)/PC)</t>
  </si>
  <si>
    <t>Prueba Defensiva (CB/PC)</t>
  </si>
  <si>
    <t>Capital de Trabajo (AC-PC)</t>
  </si>
  <si>
    <t>2. RATIOS DE GESTION O ACTIVIDAD</t>
  </si>
  <si>
    <t>Estructura de capital(Pasivo total/Patrimonio)</t>
  </si>
  <si>
    <t>4. RATIOS DE RENTABILIDAD</t>
  </si>
  <si>
    <t>PRINCIPALES CTAS</t>
  </si>
  <si>
    <t>ABREV</t>
  </si>
  <si>
    <t>CUENTAS DE LOS ESTADOS FINANCIEROS DE DAY SPA</t>
  </si>
  <si>
    <t>3. RATIOS DE SOLVENCIA O APALANCAMIENTO</t>
  </si>
  <si>
    <t>INVERSION TOTAL</t>
  </si>
  <si>
    <t>FINANCIAMIENTO</t>
  </si>
  <si>
    <t>INGRESO POR VENTAS</t>
  </si>
  <si>
    <t>PLANILLA DE EMPLEADOS</t>
  </si>
  <si>
    <t>GASTOS INDIRECTOS</t>
  </si>
  <si>
    <t>DEPRECIACION DE EQUIPOS</t>
  </si>
  <si>
    <t>ESTADO DE GANACIAS Y PERDIDAS</t>
  </si>
  <si>
    <t>BALANCE GENERAL</t>
  </si>
  <si>
    <t>FLUJO DE CAJA ECONOMICO - FINANCIERO</t>
  </si>
  <si>
    <t>PRINCIPALES RATIOS</t>
  </si>
  <si>
    <t>CUADRO DE RATIOS</t>
  </si>
  <si>
    <t>AMORTIZACION DE CREDITO</t>
  </si>
  <si>
    <t>EVALUACION COSTO BENEFICIO</t>
  </si>
  <si>
    <t>CROQUIS</t>
  </si>
  <si>
    <t>ORGANIGRAMA</t>
  </si>
  <si>
    <t>BALAN CE GENERAL</t>
  </si>
  <si>
    <t>EVALUACION COSTO - BENEFICIO</t>
  </si>
  <si>
    <t>RATIOS FINANCIEROS</t>
  </si>
  <si>
    <t>MAQ. AMASADORA</t>
  </si>
  <si>
    <t>HORNO PIZERO</t>
  </si>
  <si>
    <t>BALANZA DIGITAL</t>
  </si>
  <si>
    <t>REFRIGERADORA GOLDEX</t>
  </si>
  <si>
    <t>MESA DE MADERA</t>
  </si>
  <si>
    <t>STAND DE COCINA</t>
  </si>
  <si>
    <t>RODILLO DE MADERA</t>
  </si>
  <si>
    <t xml:space="preserve">PALA DE PIZZA </t>
  </si>
  <si>
    <t xml:space="preserve">PALA HORNERA </t>
  </si>
  <si>
    <t xml:space="preserve">OTROS ARTICULOS </t>
  </si>
  <si>
    <t>MESAS</t>
  </si>
  <si>
    <t>SILLAS</t>
  </si>
  <si>
    <t>SALSA</t>
  </si>
  <si>
    <t>MASA</t>
  </si>
  <si>
    <t>PRODUCTOS</t>
  </si>
  <si>
    <t>CAJERO</t>
  </si>
  <si>
    <t>MOZO 1</t>
  </si>
  <si>
    <t>MOZO 2</t>
  </si>
  <si>
    <t>REPARTIDOR</t>
  </si>
  <si>
    <t>Pag Web</t>
  </si>
  <si>
    <t>HORNO PIZZERO</t>
  </si>
  <si>
    <t>COCINA</t>
  </si>
  <si>
    <t>REFRIGERADORA</t>
  </si>
  <si>
    <t>I. MATERIALES</t>
  </si>
  <si>
    <t>Materiales a utilizarse</t>
  </si>
  <si>
    <t>ASISTENTE DE COCINA</t>
  </si>
  <si>
    <t>PROYECCION DE PRODUCTOS VENDIDOS</t>
  </si>
  <si>
    <t>TOTAL GASTOS INDIRECTOS</t>
  </si>
  <si>
    <t>Costo Indirecto y Gastos Administrativos</t>
  </si>
  <si>
    <t xml:space="preserve">* Se considera un 60% del Costo indirecto y un 40% del Gasto Administrativo, en los rubros: </t>
  </si>
  <si>
    <t>alquiler de local, servicios básicos, mantenimiento del local y televisión por cable</t>
  </si>
  <si>
    <t>Insumos</t>
  </si>
  <si>
    <t>PRODUCTO</t>
  </si>
  <si>
    <t xml:space="preserve">COSTO VARIABLE INDIVUDUAL </t>
  </si>
  <si>
    <t>PERIODO  DE RECUPERACION DE LA INVERSION</t>
  </si>
  <si>
    <t>ES IGUAL A:</t>
  </si>
  <si>
    <t>5 MESES</t>
  </si>
  <si>
    <t>CHEF</t>
  </si>
  <si>
    <t>COSTOS Y GASTOS INDIRECTOS POR MES</t>
  </si>
  <si>
    <t>D. IMPUESTOS A LA RENTA</t>
  </si>
  <si>
    <t>SUELDO DE PERSONAL</t>
  </si>
  <si>
    <t>GASTOS ADMINISTRATIVOS</t>
  </si>
  <si>
    <t>Anexo Nº 13</t>
  </si>
  <si>
    <t>EVOLUCIÓN DE LOS PORCENTAJES ANUALES DE DEPRECIACIÓN DE BIENES QUE GENERAN RENTAS GRAVADAS DE TERCERA CATEGORÍA: 1990-2014   1/</t>
  </si>
  <si>
    <t>Porcentaje Anual de Depreciación  2/</t>
  </si>
  <si>
    <t>Vida</t>
  </si>
  <si>
    <t>1992-1993</t>
  </si>
  <si>
    <t>1994-1995</t>
  </si>
  <si>
    <t>1996-1998</t>
  </si>
  <si>
    <t>2000 - 2009</t>
  </si>
  <si>
    <t>2010 - 2014</t>
  </si>
  <si>
    <t>Bienes</t>
  </si>
  <si>
    <t>útil</t>
  </si>
  <si>
    <t>(años)</t>
  </si>
  <si>
    <t xml:space="preserve"> - Viviendas para alquiler                      3/  </t>
  </si>
  <si>
    <t xml:space="preserve"> - Establecimiento de hospedaje     4/   </t>
  </si>
  <si>
    <t xml:space="preserve"> - Titulares de inversión turística      5/</t>
  </si>
  <si>
    <t xml:space="preserve"> - Edificios y construcciones</t>
  </si>
  <si>
    <t xml:space="preserve"> - Ganado de trabajo y reproducción; redes de pesca     6/</t>
  </si>
  <si>
    <t xml:space="preserve"> - Aves reproductoras  (gallinas)                                             7/</t>
  </si>
  <si>
    <t xml:space="preserve"> - Vehículos de transporte terrestre (excepto ferrocarriles); hornos en general</t>
  </si>
  <si>
    <t xml:space="preserve"> - Maquinarias y equipos utilizados por las actividades minera, petrolera y de</t>
  </si>
  <si>
    <t xml:space="preserve">   construcción; excepto muebles, enseres y equipos de oficina 8/</t>
  </si>
  <si>
    <t xml:space="preserve"> - Equipos de procesamiento de datos                                  9/</t>
  </si>
  <si>
    <t xml:space="preserve"> - Maquinaria y equipo adquirido a partir del 01/01/91      10/</t>
  </si>
  <si>
    <t xml:space="preserve"> - Otros bienes del activo fijo</t>
  </si>
  <si>
    <t>SNP</t>
  </si>
  <si>
    <t>Aporte
Obligtorio</t>
  </si>
  <si>
    <t>Comision</t>
  </si>
  <si>
    <t>Comision
Mixta</t>
  </si>
  <si>
    <t>TOTAL DESCUENTO</t>
  </si>
  <si>
    <t>NETO A PAGAR</t>
  </si>
  <si>
    <t>TOTAL GASTO</t>
  </si>
  <si>
    <t>CANTIDAD DE VACACIONES</t>
  </si>
  <si>
    <t>TASA DE DEPRESIACION</t>
  </si>
  <si>
    <t>TM =</t>
  </si>
  <si>
    <t>((1 + TEA/100)^(1/12)) - 1</t>
  </si>
  <si>
    <t xml:space="preserve">R = P x   </t>
  </si>
  <si>
    <r>
      <t xml:space="preserve">     i (1+i)</t>
    </r>
    <r>
      <rPr>
        <b/>
        <vertAlign val="superscript"/>
        <sz val="14"/>
        <color indexed="8"/>
        <rFont val="Arial"/>
        <family val="2"/>
      </rPr>
      <t xml:space="preserve"> n</t>
    </r>
  </si>
  <si>
    <r>
      <t>(1 + i)</t>
    </r>
    <r>
      <rPr>
        <b/>
        <vertAlign val="superscript"/>
        <sz val="14"/>
        <color indexed="8"/>
        <rFont val="Arial"/>
        <family val="2"/>
      </rPr>
      <t xml:space="preserve"> n</t>
    </r>
    <r>
      <rPr>
        <sz val="11"/>
        <color indexed="8"/>
        <rFont val="Arial"/>
        <family val="2"/>
      </rPr>
      <t xml:space="preserve"> ‑ 1</t>
    </r>
  </si>
  <si>
    <t>R= CUOTA FIJA</t>
  </si>
  <si>
    <t>P= MONTO DEL PRESTAMO</t>
  </si>
  <si>
    <t>i= TASA DE INTERES</t>
  </si>
  <si>
    <t>n= TIEPO</t>
  </si>
  <si>
    <t>R =</t>
  </si>
  <si>
    <t>10000 x</t>
  </si>
  <si>
    <t>PIZZA GRANDE</t>
  </si>
  <si>
    <t>PIZZA MEDIANA</t>
  </si>
  <si>
    <t>PIZZA GRANDE BORDE QUESO</t>
  </si>
  <si>
    <t>PIZZA MEDIANA BORDE QUESO</t>
  </si>
  <si>
    <t>PIZZA PEQUEÑA</t>
  </si>
  <si>
    <t>Volantes</t>
  </si>
  <si>
    <t>Marketing televisivo</t>
  </si>
  <si>
    <t>Página web</t>
  </si>
  <si>
    <t>Banner</t>
  </si>
  <si>
    <t>BENEFICIO</t>
  </si>
  <si>
    <t>GRATIFICACION</t>
  </si>
  <si>
    <t>Utensilios y Herramientas</t>
  </si>
  <si>
    <t>Punto de equilibrio</t>
  </si>
  <si>
    <t>El Punto de Equilibro del proyecto es aquel nivel de ventas que iguala al total de los costos, es decir, es aquel punto donde no existen ganancias ni pérdidas.</t>
  </si>
  <si>
    <t>En el punto de equilibrio el proyecto cubre todos sus costos, tanto los fijos como los variables.</t>
  </si>
  <si>
    <t>N=</t>
  </si>
  <si>
    <t>p=</t>
  </si>
  <si>
    <t>q=</t>
  </si>
  <si>
    <t xml:space="preserve">n = </t>
  </si>
  <si>
    <t>E=</t>
  </si>
  <si>
    <t>Z=</t>
  </si>
  <si>
    <t>n=</t>
  </si>
  <si>
    <t>encuestas</t>
  </si>
  <si>
    <t>gastos indirectos unitarios</t>
  </si>
  <si>
    <t>cuota</t>
  </si>
  <si>
    <t>planilla</t>
  </si>
  <si>
    <t xml:space="preserve">POBLACIÓN </t>
  </si>
  <si>
    <t>PEA (20 AÑOS A MAS)</t>
  </si>
  <si>
    <t>PERÚ</t>
  </si>
  <si>
    <t>(REPRESENTA EL 50%)</t>
  </si>
  <si>
    <t>MOQUEGUA</t>
  </si>
  <si>
    <t>ILO</t>
  </si>
  <si>
    <t>POBLACIÓN POR EDADES</t>
  </si>
  <si>
    <t>20-35</t>
  </si>
  <si>
    <t>36-45</t>
  </si>
  <si>
    <t>46-70</t>
  </si>
  <si>
    <t>P.E.A.</t>
  </si>
  <si>
    <t>N= TOTAL DE LA POBLACION</t>
  </si>
  <si>
    <t>Z= 1.96 AL CUADRADO (SI LA SEGURIDAD ES DEL 95%)</t>
  </si>
  <si>
    <t>p= PROPORCION ESPERADA</t>
  </si>
  <si>
    <t>q= 1 -p (en caso 1-0.15= 0.85)</t>
  </si>
  <si>
    <t>E= PRECISIÓN (EN SU INVESTIGACIÓN USE 5%)</t>
  </si>
  <si>
    <t>CALCULO DE LA MUESTRA DE POBLACION FINITA</t>
  </si>
  <si>
    <t>CARNES - EMBUTIDOS</t>
  </si>
  <si>
    <t>FRUTAS Y VERDURAS</t>
  </si>
  <si>
    <t>SAL, PIMIENTA Y ESPECIES</t>
  </si>
  <si>
    <t>PESO</t>
  </si>
  <si>
    <t>VALOR</t>
  </si>
  <si>
    <t>PIZZA (s/. / GR)</t>
  </si>
  <si>
    <t>PORCIÓN (GR/PIZZA)</t>
  </si>
  <si>
    <t>COSTO UNITARIO</t>
  </si>
  <si>
    <t>GR</t>
  </si>
  <si>
    <t>QUESO MOZARELLA</t>
  </si>
  <si>
    <t>MINI</t>
  </si>
  <si>
    <t>PEQUEÑA</t>
  </si>
  <si>
    <t>ENCUESTA</t>
  </si>
  <si>
    <t>CONSUMO PER CAPITA</t>
  </si>
  <si>
    <t>Q</t>
  </si>
  <si>
    <t>1 VEZ/SEM</t>
  </si>
  <si>
    <t>2 V/SEM</t>
  </si>
  <si>
    <t>3 V/SEM</t>
  </si>
  <si>
    <t>1 V/MES</t>
  </si>
  <si>
    <t>N° ENCUEST</t>
  </si>
  <si>
    <t>AL MES</t>
  </si>
  <si>
    <t>Consumo promedio per cápita</t>
  </si>
  <si>
    <t>demanda x prod</t>
  </si>
  <si>
    <t>dem x prod concentrado</t>
  </si>
  <si>
    <t>GRANDE   (y Grand c/bord queso)</t>
  </si>
  <si>
    <t>MEDIANA  (y Med c/bord queso)</t>
  </si>
  <si>
    <t>PROYECCIÓN DE VENTAS</t>
  </si>
  <si>
    <t>n</t>
  </si>
  <si>
    <t>N° COMPRADORES MISMO PRODUCTO (n)</t>
  </si>
  <si>
    <t>PEA (DE ILO PROVINCIA)</t>
  </si>
  <si>
    <t>CLASE</t>
  </si>
  <si>
    <t>A</t>
  </si>
  <si>
    <t>B</t>
  </si>
  <si>
    <t>C</t>
  </si>
  <si>
    <t>D</t>
  </si>
  <si>
    <t>RICOS</t>
  </si>
  <si>
    <t>CLASE MEDIA</t>
  </si>
  <si>
    <t>VULNERABLES</t>
  </si>
  <si>
    <t>POBRES</t>
  </si>
  <si>
    <t>CLASE A Y B   %</t>
  </si>
  <si>
    <t>N° MIEMBROS (PEA) X FAMILIA</t>
  </si>
  <si>
    <t>DEMANDA POTENCIAL</t>
  </si>
  <si>
    <t>Q    =      n    x    q</t>
  </si>
  <si>
    <t>Demanda Potencial (es el límite superiror de la demanda real)</t>
  </si>
  <si>
    <t>Número de compradores para un mismo producto</t>
  </si>
  <si>
    <t>q</t>
  </si>
  <si>
    <t>Cantidad promedio de consumo per cápita en el mercado (pizzas/mes)</t>
  </si>
  <si>
    <t>Q  =</t>
  </si>
  <si>
    <t>q =</t>
  </si>
  <si>
    <t>COMPETIDORES</t>
  </si>
  <si>
    <t>TABLÓN</t>
  </si>
  <si>
    <t>VIZZIOS</t>
  </si>
  <si>
    <t>PRESTO</t>
  </si>
  <si>
    <t>PINO'S</t>
  </si>
  <si>
    <t>al mes x pizzería</t>
  </si>
  <si>
    <t xml:space="preserve">  </t>
  </si>
  <si>
    <t>EDAD</t>
  </si>
  <si>
    <t>ENTRE 20-35</t>
  </si>
  <si>
    <t>ENTRE 36-45</t>
  </si>
  <si>
    <t>ENTRE 46 A MAS</t>
  </si>
  <si>
    <t>SEXO</t>
  </si>
  <si>
    <t>HOMBRE</t>
  </si>
  <si>
    <t>MUJER</t>
  </si>
  <si>
    <t>HAZ COMIDO PIZZA ALGUNA VEZ</t>
  </si>
  <si>
    <t xml:space="preserve">SI </t>
  </si>
  <si>
    <t>NO</t>
  </si>
  <si>
    <t>TOTAL=</t>
  </si>
  <si>
    <t>QUE ESPECIALIDAD DE PIZZA ES LA QUE MAS CONSUME</t>
  </si>
  <si>
    <t>HAWAIANA</t>
  </si>
  <si>
    <t>SALAMI</t>
  </si>
  <si>
    <t>JAMON Y CHAMPIÑON</t>
  </si>
  <si>
    <t>MEXICANA</t>
  </si>
  <si>
    <t>VEGETARIANA</t>
  </si>
  <si>
    <t>PEPERONI</t>
  </si>
  <si>
    <t>ITALIANA</t>
  </si>
  <si>
    <t>QUE TAMAÑO PREFIERE COMPRAR LA PIZZA</t>
  </si>
  <si>
    <t>GRANDE</t>
  </si>
  <si>
    <t>MEDIANA</t>
  </si>
  <si>
    <t>JUMBO</t>
  </si>
  <si>
    <t>MINI PIZZA</t>
  </si>
  <si>
    <t>CHICA</t>
  </si>
  <si>
    <t>LE GUSTA QUE EL PAN CON EL QUE ESTA HECHA LA PIZZA SEA:</t>
  </si>
  <si>
    <t>GRUESO</t>
  </si>
  <si>
    <t>DELGADO</t>
  </si>
  <si>
    <t>BLANDO</t>
  </si>
  <si>
    <t>CRUJIENTE</t>
  </si>
  <si>
    <t xml:space="preserve">                                                           </t>
  </si>
  <si>
    <t>CUANTO ESTARIA DISPUESTO A PAGAR POR UNA PIZZA CHICA</t>
  </si>
  <si>
    <t>ENTRE 9 A 11 SOLES</t>
  </si>
  <si>
    <t>ENTRE 5 A 8 SOLES</t>
  </si>
  <si>
    <t>ENTRE 12 A 13 SOLES</t>
  </si>
  <si>
    <t>8. POR UNA PIZZA MEDIANA</t>
  </si>
  <si>
    <t>ENTRE 16 A 18 SOLES</t>
  </si>
  <si>
    <t>ENTRE 19 A 25 SOLES</t>
  </si>
  <si>
    <t>ENTRE 26 A 30 SOLES</t>
  </si>
  <si>
    <r>
      <t xml:space="preserve">9. </t>
    </r>
    <r>
      <rPr>
        <b/>
        <sz val="11"/>
        <color theme="1"/>
        <rFont val="Garamond"/>
        <family val="1"/>
        <scheme val="minor"/>
      </rPr>
      <t>POR UNA PIZZA GRANDE</t>
    </r>
  </si>
  <si>
    <t>ENTRE 40 A 45 SOLES</t>
  </si>
  <si>
    <t>ENTRE 46 A 50 SOLES</t>
  </si>
  <si>
    <t>ENTRE 50 A MAS</t>
  </si>
  <si>
    <t>10.  POR UNA PIZZA JUMBO</t>
  </si>
  <si>
    <t>ENTRE 50 A 55 SOLES</t>
  </si>
  <si>
    <t>ENTRE 56 A 60 SOLES</t>
  </si>
  <si>
    <t>ENTRE 61 A MAS</t>
  </si>
  <si>
    <t>11. QUE HORARIO SON DE SU AGRADO PARA IR A UNA PIZZERIA O PEDIR UNA PIZZA</t>
  </si>
  <si>
    <t>12 PM A 1PM</t>
  </si>
  <si>
    <t>2 PM A 4 PM</t>
  </si>
  <si>
    <t>6 PM A 8 PM</t>
  </si>
  <si>
    <t>12. COMPRARIA UN PIZZA CON INGREDIENTE PERUANOS</t>
  </si>
  <si>
    <t>SI</t>
  </si>
  <si>
    <t>13. CUAL DE LOS SIGUIENTES NOMBRES LE AGRADA PARA UNA PIZZERIA</t>
  </si>
  <si>
    <t>PIZZALEGRO</t>
  </si>
  <si>
    <t>DON GIOVANI PIZZA</t>
  </si>
  <si>
    <t>PIZZA Y CORRE</t>
  </si>
  <si>
    <t>ARMA TU PIZZA</t>
  </si>
  <si>
    <t>14. CON QUE FRECUENCIA COMPRA USTED PIZZA</t>
  </si>
  <si>
    <t>1 VEZ POR SEMANA</t>
  </si>
  <si>
    <t>2 VECES POR SEMANA</t>
  </si>
  <si>
    <t>SOLO SABADOS</t>
  </si>
  <si>
    <t>SOLO DOMINGOS</t>
  </si>
  <si>
    <t>OTROS</t>
  </si>
  <si>
    <t>3 O MAS VECES POR SEMANA</t>
  </si>
  <si>
    <t>C/B</t>
  </si>
  <si>
    <t>Rotacion de existencias (CV/EXIS)</t>
  </si>
  <si>
    <t>Rotacion de caja y bancos (V/CB)</t>
  </si>
  <si>
    <t>Rotacion de activos totales (V/ACT. TOT)</t>
  </si>
  <si>
    <t>Endeudamiento total (PT /AT)</t>
  </si>
  <si>
    <t>Rentabilidad sobre la inversion (UN/AT)</t>
  </si>
  <si>
    <t>Rentabilidad sobre el patrimonio (UN/PATRI)</t>
  </si>
  <si>
    <t>Rentabilidad sobre ventas (UN/ VENTAS)</t>
  </si>
  <si>
    <t>Margen comercial ((VN-CV)/VN)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</si>
</sst>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6" formatCode="&quot;S/.&quot;\ #,##0;[Red]&quot;S/.&quot;\ \-#,##0"/>
    <numFmt numFmtId="8" formatCode="&quot;S/.&quot;\ #,##0.00;[Red]&quot;S/.&quot;\ \-#,##0.00"/>
    <numFmt numFmtId="44" formatCode="_ &quot;S/.&quot;\ * #,##0.00_ ;_ &quot;S/.&quot;\ * \-#,##0.00_ ;_ &quot;S/.&quot;\ * &quot;-&quot;??_ ;_ @_ "/>
    <numFmt numFmtId="164" formatCode="&quot;S/.&quot;\ #,##0.00"/>
    <numFmt numFmtId="165" formatCode="0.000"/>
    <numFmt numFmtId="166" formatCode="0.0000"/>
    <numFmt numFmtId="167" formatCode="0.00;[Red]0.00"/>
    <numFmt numFmtId="168" formatCode="0;[Red]0"/>
    <numFmt numFmtId="169" formatCode="0.00000"/>
    <numFmt numFmtId="170" formatCode="0.000000"/>
    <numFmt numFmtId="171" formatCode="0.0%"/>
    <numFmt numFmtId="172" formatCode="0.00000E+00"/>
    <numFmt numFmtId="173" formatCode="0.000000000"/>
    <numFmt numFmtId="174" formatCode="0.0"/>
  </numFmts>
  <fonts count="54">
    <font>
      <sz val="11"/>
      <color theme="1"/>
      <name val="Garamond"/>
      <family val="2"/>
      <scheme val="minor"/>
    </font>
    <font>
      <sz val="11"/>
      <color theme="1"/>
      <name val="Garamond"/>
      <family val="2"/>
      <scheme val="minor"/>
    </font>
    <font>
      <sz val="11"/>
      <color theme="1"/>
      <name val="Book Antiqua"/>
      <family val="1"/>
    </font>
    <font>
      <b/>
      <sz val="8"/>
      <name val="Book Antiqua"/>
      <family val="1"/>
    </font>
    <font>
      <sz val="8"/>
      <name val="Book Antiqua"/>
      <family val="1"/>
    </font>
    <font>
      <sz val="10"/>
      <name val="Book Antiqua"/>
      <family val="1"/>
    </font>
    <font>
      <sz val="9"/>
      <color theme="1"/>
      <name val="Book Antiqua"/>
      <family val="1"/>
    </font>
    <font>
      <sz val="8"/>
      <color theme="1"/>
      <name val="Book Antiqua"/>
      <family val="1"/>
    </font>
    <font>
      <b/>
      <sz val="8"/>
      <color theme="1"/>
      <name val="Book Antiqua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theme="0"/>
      <name val="Book Antiqua"/>
      <family val="1"/>
    </font>
    <font>
      <sz val="16"/>
      <color rgb="FFFFFF00"/>
      <name val="Algerian"/>
      <family val="5"/>
    </font>
    <font>
      <b/>
      <sz val="16"/>
      <color theme="0"/>
      <name val="Book Antiqua"/>
      <family val="1"/>
    </font>
    <font>
      <b/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7.5"/>
      <name val="Arial"/>
      <family val="2"/>
    </font>
    <font>
      <sz val="10"/>
      <color theme="1"/>
      <name val="Arial"/>
      <family val="2"/>
    </font>
    <font>
      <b/>
      <sz val="8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vertAlign val="superscript"/>
      <sz val="14"/>
      <color indexed="8"/>
      <name val="Arial"/>
      <family val="2"/>
    </font>
    <font>
      <sz val="11"/>
      <color indexed="8"/>
      <name val="Arial"/>
      <family val="2"/>
    </font>
    <font>
      <b/>
      <sz val="16"/>
      <name val="Book Antiqua"/>
      <family val="1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1"/>
      <name val="Arial"/>
      <family val="2"/>
    </font>
    <font>
      <b/>
      <sz val="8"/>
      <color theme="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sz val="8"/>
      <color rgb="FF00000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8"/>
      <color indexed="10"/>
      <name val="Arial"/>
      <family val="2"/>
    </font>
    <font>
      <b/>
      <sz val="8"/>
      <color indexed="12"/>
      <name val="Arial"/>
      <family val="2"/>
    </font>
    <font>
      <b/>
      <sz val="12"/>
      <color theme="1"/>
      <name val="Arial"/>
      <family val="2"/>
    </font>
    <font>
      <b/>
      <sz val="11"/>
      <color rgb="FFFF0000"/>
      <name val="Arial"/>
      <family val="2"/>
    </font>
    <font>
      <sz val="9"/>
      <color theme="0"/>
      <name val="Arial"/>
      <family val="2"/>
    </font>
    <font>
      <b/>
      <sz val="11"/>
      <color theme="1"/>
      <name val="Garamond"/>
      <family val="2"/>
      <scheme val="minor"/>
    </font>
    <font>
      <b/>
      <sz val="11"/>
      <color theme="1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Garamond"/>
      <family val="1"/>
      <scheme val="minor"/>
    </font>
    <font>
      <sz val="11"/>
      <color theme="1"/>
      <name val="Garamond"/>
      <family val="1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4">
    <fill>
      <patternFill patternType="none"/>
    </fill>
    <fill>
      <patternFill patternType="gray125"/>
    </fill>
    <fill>
      <patternFill patternType="solid">
        <fgColor rgb="FFFF99FF"/>
        <bgColor indexed="64"/>
      </patternFill>
    </fill>
    <fill>
      <patternFill patternType="solid">
        <fgColor rgb="FFF44AE8"/>
        <bgColor indexed="64"/>
      </patternFill>
    </fill>
    <fill>
      <patternFill patternType="solid">
        <fgColor rgb="FFF7D1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666E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7C8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66FFFF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524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right"/>
    </xf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7" fillId="0" borderId="0" xfId="0" applyFont="1" applyAlignment="1">
      <alignment vertical="center" wrapText="1"/>
    </xf>
    <xf numFmtId="0" fontId="7" fillId="0" borderId="0" xfId="0" applyFont="1" applyBorder="1"/>
    <xf numFmtId="0" fontId="3" fillId="3" borderId="1" xfId="0" applyFont="1" applyFill="1" applyBorder="1" applyAlignment="1">
      <alignment horizontal="center" vertical="center" wrapText="1"/>
    </xf>
    <xf numFmtId="9" fontId="7" fillId="0" borderId="0" xfId="0" applyNumberFormat="1" applyFont="1"/>
    <xf numFmtId="164" fontId="3" fillId="4" borderId="2" xfId="0" applyNumberFormat="1" applyFont="1" applyFill="1" applyBorder="1" applyAlignment="1">
      <alignment horizontal="right"/>
    </xf>
    <xf numFmtId="2" fontId="7" fillId="0" borderId="0" xfId="0" applyNumberFormat="1" applyFont="1"/>
    <xf numFmtId="0" fontId="2" fillId="0" borderId="0" xfId="0" applyFont="1" applyAlignment="1">
      <alignment wrapText="1"/>
    </xf>
    <xf numFmtId="164" fontId="4" fillId="0" borderId="0" xfId="0" applyNumberFormat="1" applyFont="1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164" fontId="11" fillId="0" borderId="0" xfId="0" applyNumberFormat="1" applyFont="1"/>
    <xf numFmtId="0" fontId="13" fillId="0" borderId="0" xfId="0" applyFont="1" applyFill="1"/>
    <xf numFmtId="164" fontId="3" fillId="9" borderId="2" xfId="0" applyNumberFormat="1" applyFont="1" applyFill="1" applyBorder="1" applyAlignment="1">
      <alignment horizontal="right"/>
    </xf>
    <xf numFmtId="164" fontId="7" fillId="9" borderId="2" xfId="0" applyNumberFormat="1" applyFont="1" applyFill="1" applyBorder="1" applyAlignment="1">
      <alignment horizontal="right"/>
    </xf>
    <xf numFmtId="164" fontId="5" fillId="0" borderId="0" xfId="0" applyNumberFormat="1" applyFont="1"/>
    <xf numFmtId="0" fontId="14" fillId="12" borderId="0" xfId="0" applyFont="1" applyFill="1" applyAlignment="1">
      <alignment horizontal="left"/>
    </xf>
    <xf numFmtId="0" fontId="15" fillId="12" borderId="0" xfId="0" applyFont="1" applyFill="1"/>
    <xf numFmtId="0" fontId="14" fillId="12" borderId="15" xfId="0" applyFont="1" applyFill="1" applyBorder="1" applyAlignment="1">
      <alignment horizontal="left"/>
    </xf>
    <xf numFmtId="0" fontId="15" fillId="12" borderId="15" xfId="0" applyFont="1" applyFill="1" applyBorder="1"/>
    <xf numFmtId="0" fontId="16" fillId="12" borderId="0" xfId="0" applyFont="1" applyFill="1" applyBorder="1" applyAlignment="1">
      <alignment horizontal="left"/>
    </xf>
    <xf numFmtId="0" fontId="16" fillId="12" borderId="0" xfId="0" applyFont="1" applyFill="1" applyBorder="1" applyAlignment="1">
      <alignment horizontal="center"/>
    </xf>
    <xf numFmtId="14" fontId="14" fillId="13" borderId="48" xfId="1" applyNumberFormat="1" applyFont="1" applyFill="1" applyBorder="1" applyAlignment="1">
      <alignment horizontal="center"/>
    </xf>
    <xf numFmtId="0" fontId="14" fillId="13" borderId="48" xfId="0" applyFont="1" applyFill="1" applyBorder="1" applyAlignment="1">
      <alignment horizontal="centerContinuous"/>
    </xf>
    <xf numFmtId="0" fontId="14" fillId="13" borderId="48" xfId="0" applyFont="1" applyFill="1" applyBorder="1"/>
    <xf numFmtId="0" fontId="14" fillId="13" borderId="48" xfId="0" applyFont="1" applyFill="1" applyBorder="1" applyAlignment="1">
      <alignment horizontal="center"/>
    </xf>
    <xf numFmtId="0" fontId="17" fillId="13" borderId="48" xfId="0" applyFont="1" applyFill="1" applyBorder="1"/>
    <xf numFmtId="0" fontId="18" fillId="12" borderId="48" xfId="0" applyFont="1" applyFill="1" applyBorder="1"/>
    <xf numFmtId="0" fontId="18" fillId="12" borderId="48" xfId="0" applyFont="1" applyFill="1" applyBorder="1" applyAlignment="1">
      <alignment horizontal="center"/>
    </xf>
    <xf numFmtId="9" fontId="18" fillId="12" borderId="48" xfId="0" applyNumberFormat="1" applyFont="1" applyFill="1" applyBorder="1" applyAlignment="1">
      <alignment horizontal="center" vertical="center"/>
    </xf>
    <xf numFmtId="0" fontId="18" fillId="12" borderId="48" xfId="0" applyFont="1" applyFill="1" applyBorder="1" applyAlignment="1">
      <alignment horizontal="center" vertical="center"/>
    </xf>
    <xf numFmtId="0" fontId="17" fillId="12" borderId="48" xfId="0" applyFont="1" applyFill="1" applyBorder="1" applyAlignment="1">
      <alignment horizontal="center" vertical="center"/>
    </xf>
    <xf numFmtId="0" fontId="14" fillId="12" borderId="15" xfId="0" applyFont="1" applyFill="1" applyBorder="1"/>
    <xf numFmtId="171" fontId="17" fillId="12" borderId="15" xfId="0" applyNumberFormat="1" applyFont="1" applyFill="1" applyBorder="1" applyAlignment="1">
      <alignment horizontal="center"/>
    </xf>
    <xf numFmtId="171" fontId="17" fillId="12" borderId="15" xfId="0" applyNumberFormat="1" applyFont="1" applyFill="1" applyBorder="1"/>
    <xf numFmtId="0" fontId="17" fillId="12" borderId="15" xfId="0" applyFont="1" applyFill="1" applyBorder="1"/>
    <xf numFmtId="0" fontId="19" fillId="7" borderId="48" xfId="0" applyFont="1" applyFill="1" applyBorder="1" applyAlignment="1">
      <alignment horizontal="center" vertical="center"/>
    </xf>
    <xf numFmtId="0" fontId="19" fillId="7" borderId="48" xfId="0" applyFont="1" applyFill="1" applyBorder="1" applyAlignment="1">
      <alignment horizontal="center" vertical="center" wrapText="1"/>
    </xf>
    <xf numFmtId="9" fontId="20" fillId="14" borderId="48" xfId="0" applyNumberFormat="1" applyFont="1" applyFill="1" applyBorder="1" applyAlignment="1">
      <alignment horizontal="center" vertical="center" wrapText="1"/>
    </xf>
    <xf numFmtId="10" fontId="20" fillId="14" borderId="48" xfId="0" applyNumberFormat="1" applyFont="1" applyFill="1" applyBorder="1" applyAlignment="1">
      <alignment horizontal="center" vertical="center" wrapText="1"/>
    </xf>
    <xf numFmtId="0" fontId="21" fillId="7" borderId="48" xfId="0" applyFont="1" applyFill="1" applyBorder="1" applyAlignment="1">
      <alignment horizontal="center" vertical="center"/>
    </xf>
    <xf numFmtId="0" fontId="21" fillId="0" borderId="0" xfId="0" applyFont="1"/>
    <xf numFmtId="0" fontId="21" fillId="0" borderId="4" xfId="0" applyFont="1" applyBorder="1" applyAlignment="1">
      <alignment horizontal="right"/>
    </xf>
    <xf numFmtId="0" fontId="21" fillId="0" borderId="5" xfId="0" applyFont="1" applyBorder="1"/>
    <xf numFmtId="0" fontId="21" fillId="0" borderId="17" xfId="0" applyFont="1" applyBorder="1"/>
    <xf numFmtId="172" fontId="21" fillId="0" borderId="17" xfId="0" applyNumberFormat="1" applyFont="1" applyBorder="1"/>
    <xf numFmtId="0" fontId="22" fillId="0" borderId="4" xfId="0" applyFont="1" applyBorder="1" applyAlignment="1">
      <alignment horizontal="right"/>
    </xf>
    <xf numFmtId="173" fontId="22" fillId="0" borderId="17" xfId="0" applyNumberFormat="1" applyFont="1" applyBorder="1"/>
    <xf numFmtId="1" fontId="16" fillId="0" borderId="0" xfId="0" applyNumberFormat="1" applyFont="1" applyFill="1"/>
    <xf numFmtId="0" fontId="21" fillId="0" borderId="17" xfId="0" applyNumberFormat="1" applyFont="1" applyBorder="1"/>
    <xf numFmtId="0" fontId="21" fillId="0" borderId="13" xfId="0" applyFont="1" applyBorder="1"/>
    <xf numFmtId="1" fontId="21" fillId="0" borderId="5" xfId="0" applyNumberFormat="1" applyFont="1" applyBorder="1" applyAlignment="1">
      <alignment horizontal="right"/>
    </xf>
    <xf numFmtId="44" fontId="21" fillId="0" borderId="17" xfId="0" applyNumberFormat="1" applyFont="1" applyBorder="1"/>
    <xf numFmtId="0" fontId="14" fillId="13" borderId="1" xfId="0" applyFont="1" applyFill="1" applyBorder="1" applyAlignment="1">
      <alignment horizontal="center" vertical="center"/>
    </xf>
    <xf numFmtId="0" fontId="14" fillId="13" borderId="3" xfId="0" applyFont="1" applyFill="1" applyBorder="1" applyAlignment="1">
      <alignment horizontal="center" vertical="center"/>
    </xf>
    <xf numFmtId="0" fontId="14" fillId="13" borderId="6" xfId="0" applyFont="1" applyFill="1" applyBorder="1" applyAlignment="1">
      <alignment horizontal="center" vertical="center"/>
    </xf>
    <xf numFmtId="0" fontId="0" fillId="9" borderId="0" xfId="0" applyFill="1"/>
    <xf numFmtId="0" fontId="21" fillId="0" borderId="2" xfId="0" applyFont="1" applyBorder="1" applyAlignment="1">
      <alignment horizontal="left"/>
    </xf>
    <xf numFmtId="164" fontId="21" fillId="9" borderId="2" xfId="0" applyNumberFormat="1" applyFont="1" applyFill="1" applyBorder="1" applyAlignment="1">
      <alignment horizontal="right"/>
    </xf>
    <xf numFmtId="0" fontId="21" fillId="11" borderId="2" xfId="0" applyFont="1" applyFill="1" applyBorder="1" applyAlignment="1">
      <alignment horizontal="left"/>
    </xf>
    <xf numFmtId="0" fontId="15" fillId="0" borderId="2" xfId="0" applyFont="1" applyBorder="1" applyAlignment="1">
      <alignment horizontal="left"/>
    </xf>
    <xf numFmtId="164" fontId="16" fillId="9" borderId="2" xfId="0" applyNumberFormat="1" applyFont="1" applyFill="1" applyBorder="1" applyAlignment="1">
      <alignment horizontal="right"/>
    </xf>
    <xf numFmtId="0" fontId="16" fillId="11" borderId="2" xfId="0" applyFont="1" applyFill="1" applyBorder="1" applyAlignment="1">
      <alignment horizontal="left"/>
    </xf>
    <xf numFmtId="0" fontId="15" fillId="0" borderId="2" xfId="0" applyFont="1" applyBorder="1" applyAlignment="1">
      <alignment horizontal="left" vertical="center" wrapText="1"/>
    </xf>
    <xf numFmtId="164" fontId="15" fillId="9" borderId="2" xfId="0" applyNumberFormat="1" applyFont="1" applyFill="1" applyBorder="1" applyAlignment="1">
      <alignment horizontal="right"/>
    </xf>
    <xf numFmtId="0" fontId="15" fillId="0" borderId="48" xfId="0" applyFont="1" applyBorder="1" applyAlignment="1">
      <alignment horizontal="left" vertical="center" wrapText="1"/>
    </xf>
    <xf numFmtId="164" fontId="21" fillId="9" borderId="48" xfId="0" applyNumberFormat="1" applyFont="1" applyFill="1" applyBorder="1" applyAlignment="1">
      <alignment horizontal="right"/>
    </xf>
    <xf numFmtId="164" fontId="15" fillId="9" borderId="48" xfId="0" applyNumberFormat="1" applyFont="1" applyFill="1" applyBorder="1" applyAlignment="1">
      <alignment horizontal="right"/>
    </xf>
    <xf numFmtId="0" fontId="16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1" fillId="0" borderId="48" xfId="0" applyFont="1" applyBorder="1" applyAlignment="1">
      <alignment horizontal="left"/>
    </xf>
    <xf numFmtId="0" fontId="16" fillId="16" borderId="1" xfId="0" applyFont="1" applyFill="1" applyBorder="1" applyAlignment="1">
      <alignment horizontal="center" vertical="center" wrapText="1"/>
    </xf>
    <xf numFmtId="0" fontId="25" fillId="0" borderId="0" xfId="0" applyFont="1" applyFill="1"/>
    <xf numFmtId="2" fontId="26" fillId="16" borderId="2" xfId="0" applyNumberFormat="1" applyFont="1" applyFill="1" applyBorder="1" applyAlignment="1">
      <alignment horizontal="center"/>
    </xf>
    <xf numFmtId="2" fontId="27" fillId="0" borderId="2" xfId="0" applyNumberFormat="1" applyFont="1" applyBorder="1" applyAlignment="1">
      <alignment horizontal="left"/>
    </xf>
    <xf numFmtId="0" fontId="27" fillId="0" borderId="2" xfId="0" applyFont="1" applyBorder="1" applyAlignment="1">
      <alignment horizontal="center"/>
    </xf>
    <xf numFmtId="0" fontId="26" fillId="16" borderId="2" xfId="0" applyFont="1" applyFill="1" applyBorder="1" applyAlignment="1">
      <alignment horizontal="center"/>
    </xf>
    <xf numFmtId="2" fontId="27" fillId="0" borderId="2" xfId="0" applyNumberFormat="1" applyFont="1" applyBorder="1" applyAlignment="1">
      <alignment horizontal="center"/>
    </xf>
    <xf numFmtId="0" fontId="26" fillId="0" borderId="2" xfId="0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/>
    </xf>
    <xf numFmtId="0" fontId="21" fillId="0" borderId="0" xfId="0" applyFont="1" applyBorder="1"/>
    <xf numFmtId="0" fontId="27" fillId="0" borderId="0" xfId="0" applyFont="1" applyBorder="1"/>
    <xf numFmtId="0" fontId="27" fillId="11" borderId="0" xfId="0" applyFont="1" applyFill="1" applyBorder="1"/>
    <xf numFmtId="0" fontId="27" fillId="0" borderId="2" xfId="0" applyFont="1" applyBorder="1" applyAlignment="1">
      <alignment wrapText="1"/>
    </xf>
    <xf numFmtId="0" fontId="26" fillId="0" borderId="0" xfId="0" applyFont="1" applyBorder="1"/>
    <xf numFmtId="0" fontId="15" fillId="0" borderId="0" xfId="0" applyFont="1" applyFill="1"/>
    <xf numFmtId="0" fontId="15" fillId="0" borderId="0" xfId="0" applyFont="1" applyFill="1" applyAlignment="1">
      <alignment horizontal="right"/>
    </xf>
    <xf numFmtId="164" fontId="31" fillId="0" borderId="2" xfId="0" applyNumberFormat="1" applyFont="1" applyBorder="1" applyAlignment="1">
      <alignment horizontal="right"/>
    </xf>
    <xf numFmtId="0" fontId="31" fillId="0" borderId="2" xfId="0" applyFont="1" applyBorder="1" applyAlignment="1">
      <alignment horizontal="center"/>
    </xf>
    <xf numFmtId="164" fontId="31" fillId="0" borderId="2" xfId="0" applyNumberFormat="1" applyFont="1" applyBorder="1" applyAlignment="1">
      <alignment horizontal="center"/>
    </xf>
    <xf numFmtId="164" fontId="31" fillId="0" borderId="48" xfId="0" applyNumberFormat="1" applyFont="1" applyBorder="1" applyAlignment="1">
      <alignment horizontal="right"/>
    </xf>
    <xf numFmtId="0" fontId="31" fillId="0" borderId="48" xfId="0" applyFont="1" applyBorder="1" applyAlignment="1">
      <alignment horizontal="center"/>
    </xf>
    <xf numFmtId="164" fontId="31" fillId="0" borderId="48" xfId="0" applyNumberFormat="1" applyFont="1" applyBorder="1" applyAlignment="1">
      <alignment horizontal="center"/>
    </xf>
    <xf numFmtId="0" fontId="15" fillId="0" borderId="6" xfId="0" applyFont="1" applyBorder="1" applyAlignment="1">
      <alignment horizontal="left" vertical="center" wrapText="1"/>
    </xf>
    <xf numFmtId="164" fontId="31" fillId="0" borderId="6" xfId="0" applyNumberFormat="1" applyFont="1" applyBorder="1" applyAlignment="1">
      <alignment horizontal="right"/>
    </xf>
    <xf numFmtId="0" fontId="31" fillId="0" borderId="6" xfId="0" applyFont="1" applyBorder="1" applyAlignment="1">
      <alignment horizontal="center"/>
    </xf>
    <xf numFmtId="164" fontId="31" fillId="0" borderId="6" xfId="0" applyNumberFormat="1" applyFont="1" applyBorder="1" applyAlignment="1">
      <alignment horizontal="center"/>
    </xf>
    <xf numFmtId="0" fontId="15" fillId="0" borderId="1" xfId="0" applyFont="1" applyBorder="1" applyAlignment="1">
      <alignment horizontal="left" vertical="center" wrapText="1"/>
    </xf>
    <xf numFmtId="164" fontId="31" fillId="0" borderId="1" xfId="0" applyNumberFormat="1" applyFont="1" applyBorder="1" applyAlignment="1">
      <alignment horizontal="right"/>
    </xf>
    <xf numFmtId="0" fontId="31" fillId="0" borderId="1" xfId="0" applyFont="1" applyBorder="1" applyAlignment="1">
      <alignment horizontal="center"/>
    </xf>
    <xf numFmtId="164" fontId="31" fillId="0" borderId="1" xfId="0" applyNumberFormat="1" applyFont="1" applyBorder="1" applyAlignment="1">
      <alignment horizontal="center"/>
    </xf>
    <xf numFmtId="0" fontId="15" fillId="0" borderId="2" xfId="0" applyFont="1" applyBorder="1" applyAlignment="1">
      <alignment vertical="justify"/>
    </xf>
    <xf numFmtId="164" fontId="15" fillId="0" borderId="2" xfId="0" applyNumberFormat="1" applyFont="1" applyBorder="1"/>
    <xf numFmtId="0" fontId="15" fillId="0" borderId="2" xfId="0" applyFont="1" applyBorder="1" applyAlignment="1">
      <alignment horizontal="center"/>
    </xf>
    <xf numFmtId="0" fontId="15" fillId="0" borderId="2" xfId="0" applyFont="1" applyBorder="1"/>
    <xf numFmtId="0" fontId="15" fillId="0" borderId="48" xfId="0" applyFont="1" applyBorder="1"/>
    <xf numFmtId="164" fontId="15" fillId="0" borderId="48" xfId="0" applyNumberFormat="1" applyFont="1" applyBorder="1"/>
    <xf numFmtId="0" fontId="31" fillId="0" borderId="0" xfId="0" applyFont="1"/>
    <xf numFmtId="0" fontId="31" fillId="0" borderId="0" xfId="0" applyFont="1" applyAlignment="1">
      <alignment horizontal="right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31" fillId="0" borderId="0" xfId="0" applyFont="1" applyAlignment="1"/>
    <xf numFmtId="0" fontId="30" fillId="17" borderId="15" xfId="0" applyFont="1" applyFill="1" applyBorder="1" applyAlignment="1">
      <alignment horizontal="right"/>
    </xf>
    <xf numFmtId="0" fontId="30" fillId="17" borderId="15" xfId="0" applyFont="1" applyFill="1" applyBorder="1" applyAlignment="1">
      <alignment horizontal="center"/>
    </xf>
    <xf numFmtId="0" fontId="16" fillId="17" borderId="15" xfId="0" applyFont="1" applyFill="1" applyBorder="1" applyAlignment="1">
      <alignment horizontal="center" vertical="center" wrapText="1"/>
    </xf>
    <xf numFmtId="0" fontId="16" fillId="15" borderId="6" xfId="0" applyFont="1" applyFill="1" applyBorder="1" applyAlignment="1">
      <alignment horizontal="left" vertical="center" wrapText="1"/>
    </xf>
    <xf numFmtId="0" fontId="31" fillId="15" borderId="6" xfId="0" applyFont="1" applyFill="1" applyBorder="1" applyAlignment="1">
      <alignment horizontal="right"/>
    </xf>
    <xf numFmtId="0" fontId="31" fillId="15" borderId="6" xfId="0" applyFont="1" applyFill="1" applyBorder="1" applyAlignment="1">
      <alignment horizontal="center"/>
    </xf>
    <xf numFmtId="164" fontId="30" fillId="15" borderId="6" xfId="0" applyNumberFormat="1" applyFont="1" applyFill="1" applyBorder="1" applyAlignment="1">
      <alignment horizontal="center"/>
    </xf>
    <xf numFmtId="164" fontId="31" fillId="15" borderId="2" xfId="0" applyNumberFormat="1" applyFont="1" applyFill="1" applyBorder="1" applyAlignment="1">
      <alignment horizontal="right"/>
    </xf>
    <xf numFmtId="0" fontId="31" fillId="15" borderId="2" xfId="0" applyFont="1" applyFill="1" applyBorder="1" applyAlignment="1">
      <alignment horizontal="center"/>
    </xf>
    <xf numFmtId="0" fontId="16" fillId="15" borderId="2" xfId="0" applyFont="1" applyFill="1" applyBorder="1" applyAlignment="1">
      <alignment horizontal="left" vertical="center" wrapText="1"/>
    </xf>
    <xf numFmtId="164" fontId="30" fillId="15" borderId="2" xfId="0" applyNumberFormat="1" applyFont="1" applyFill="1" applyBorder="1" applyAlignment="1">
      <alignment horizontal="center"/>
    </xf>
    <xf numFmtId="2" fontId="31" fillId="15" borderId="2" xfId="0" applyNumberFormat="1" applyFont="1" applyFill="1" applyBorder="1" applyAlignment="1">
      <alignment horizontal="right"/>
    </xf>
    <xf numFmtId="0" fontId="31" fillId="17" borderId="1" xfId="0" applyFont="1" applyFill="1" applyBorder="1" applyAlignment="1">
      <alignment horizontal="right"/>
    </xf>
    <xf numFmtId="0" fontId="31" fillId="17" borderId="1" xfId="0" applyFont="1" applyFill="1" applyBorder="1" applyAlignment="1">
      <alignment horizontal="center"/>
    </xf>
    <xf numFmtId="0" fontId="31" fillId="17" borderId="5" xfId="0" applyFont="1" applyFill="1" applyBorder="1" applyAlignment="1">
      <alignment horizontal="right"/>
    </xf>
    <xf numFmtId="0" fontId="31" fillId="17" borderId="5" xfId="0" applyFont="1" applyFill="1" applyBorder="1" applyAlignment="1">
      <alignment horizontal="center"/>
    </xf>
    <xf numFmtId="0" fontId="31" fillId="17" borderId="2" xfId="0" applyFont="1" applyFill="1" applyBorder="1" applyAlignment="1">
      <alignment horizontal="right"/>
    </xf>
    <xf numFmtId="0" fontId="31" fillId="17" borderId="2" xfId="0" applyFont="1" applyFill="1" applyBorder="1" applyAlignment="1">
      <alignment horizontal="center"/>
    </xf>
    <xf numFmtId="0" fontId="31" fillId="17" borderId="2" xfId="0" applyFont="1" applyFill="1" applyBorder="1"/>
    <xf numFmtId="0" fontId="16" fillId="18" borderId="2" xfId="0" applyFont="1" applyFill="1" applyBorder="1"/>
    <xf numFmtId="164" fontId="15" fillId="18" borderId="2" xfId="0" applyNumberFormat="1" applyFont="1" applyFill="1" applyBorder="1"/>
    <xf numFmtId="0" fontId="15" fillId="18" borderId="2" xfId="0" applyFont="1" applyFill="1" applyBorder="1" applyAlignment="1">
      <alignment horizontal="center"/>
    </xf>
    <xf numFmtId="0" fontId="31" fillId="18" borderId="2" xfId="0" applyFont="1" applyFill="1" applyBorder="1"/>
    <xf numFmtId="164" fontId="30" fillId="18" borderId="2" xfId="0" applyNumberFormat="1" applyFont="1" applyFill="1" applyBorder="1" applyAlignment="1">
      <alignment horizontal="right"/>
    </xf>
    <xf numFmtId="0" fontId="31" fillId="18" borderId="2" xfId="0" applyFont="1" applyFill="1" applyBorder="1" applyAlignment="1">
      <alignment horizontal="center"/>
    </xf>
    <xf numFmtId="0" fontId="16" fillId="18" borderId="48" xfId="0" applyFont="1" applyFill="1" applyBorder="1"/>
    <xf numFmtId="0" fontId="15" fillId="18" borderId="48" xfId="0" applyFont="1" applyFill="1" applyBorder="1" applyAlignment="1">
      <alignment horizontal="center"/>
    </xf>
    <xf numFmtId="164" fontId="30" fillId="18" borderId="48" xfId="0" applyNumberFormat="1" applyFont="1" applyFill="1" applyBorder="1" applyAlignment="1">
      <alignment horizontal="right"/>
    </xf>
    <xf numFmtId="0" fontId="30" fillId="17" borderId="2" xfId="0" applyFont="1" applyFill="1" applyBorder="1"/>
    <xf numFmtId="164" fontId="30" fillId="17" borderId="2" xfId="0" applyNumberFormat="1" applyFont="1" applyFill="1" applyBorder="1"/>
    <xf numFmtId="0" fontId="30" fillId="19" borderId="2" xfId="0" applyFont="1" applyFill="1" applyBorder="1" applyAlignment="1">
      <alignment horizontal="right"/>
    </xf>
    <xf numFmtId="0" fontId="30" fillId="19" borderId="2" xfId="0" applyFont="1" applyFill="1" applyBorder="1" applyAlignment="1">
      <alignment horizontal="center"/>
    </xf>
    <xf numFmtId="0" fontId="29" fillId="17" borderId="16" xfId="0" applyFont="1" applyFill="1" applyBorder="1" applyAlignment="1">
      <alignment horizontal="left" vertical="center" wrapText="1"/>
    </xf>
    <xf numFmtId="0" fontId="29" fillId="17" borderId="1" xfId="0" applyFont="1" applyFill="1" applyBorder="1" applyAlignment="1">
      <alignment horizontal="left" vertical="center" wrapText="1"/>
    </xf>
    <xf numFmtId="0" fontId="29" fillId="17" borderId="4" xfId="0" applyFont="1" applyFill="1" applyBorder="1" applyAlignment="1">
      <alignment horizontal="left" vertical="center" wrapText="1"/>
    </xf>
    <xf numFmtId="0" fontId="29" fillId="17" borderId="2" xfId="0" applyFont="1" applyFill="1" applyBorder="1" applyAlignment="1">
      <alignment horizontal="left" vertical="center" wrapText="1"/>
    </xf>
    <xf numFmtId="0" fontId="32" fillId="17" borderId="2" xfId="0" applyFont="1" applyFill="1" applyBorder="1"/>
    <xf numFmtId="0" fontId="32" fillId="19" borderId="2" xfId="0" applyFont="1" applyFill="1" applyBorder="1" applyAlignment="1">
      <alignment horizontal="left" vertical="center" wrapText="1"/>
    </xf>
    <xf numFmtId="0" fontId="34" fillId="0" borderId="0" xfId="0" applyFont="1"/>
    <xf numFmtId="0" fontId="35" fillId="17" borderId="2" xfId="0" applyFont="1" applyFill="1" applyBorder="1" applyAlignment="1">
      <alignment horizontal="center" vertical="center" wrapText="1"/>
    </xf>
    <xf numFmtId="0" fontId="34" fillId="0" borderId="2" xfId="0" applyFont="1" applyBorder="1"/>
    <xf numFmtId="164" fontId="34" fillId="0" borderId="2" xfId="0" applyNumberFormat="1" applyFont="1" applyBorder="1"/>
    <xf numFmtId="9" fontId="34" fillId="0" borderId="2" xfId="0" applyNumberFormat="1" applyFont="1" applyBorder="1"/>
    <xf numFmtId="0" fontId="33" fillId="0" borderId="2" xfId="0" applyFont="1" applyBorder="1"/>
    <xf numFmtId="164" fontId="33" fillId="0" borderId="2" xfId="0" applyNumberFormat="1" applyFont="1" applyBorder="1"/>
    <xf numFmtId="9" fontId="33" fillId="0" borderId="2" xfId="0" applyNumberFormat="1" applyFont="1" applyBorder="1"/>
    <xf numFmtId="0" fontId="16" fillId="0" borderId="0" xfId="0" applyFont="1" applyFill="1" applyBorder="1" applyAlignment="1"/>
    <xf numFmtId="0" fontId="21" fillId="0" borderId="0" xfId="0" applyFont="1" applyFill="1"/>
    <xf numFmtId="0" fontId="16" fillId="0" borderId="2" xfId="0" applyFont="1" applyFill="1" applyBorder="1"/>
    <xf numFmtId="2" fontId="16" fillId="0" borderId="2" xfId="0" applyNumberFormat="1" applyFont="1" applyFill="1" applyBorder="1"/>
    <xf numFmtId="0" fontId="16" fillId="0" borderId="0" xfId="0" applyFont="1" applyFill="1" applyBorder="1"/>
    <xf numFmtId="0" fontId="16" fillId="0" borderId="0" xfId="0" applyFont="1" applyFill="1"/>
    <xf numFmtId="10" fontId="16" fillId="0" borderId="2" xfId="1" applyNumberFormat="1" applyFont="1" applyFill="1" applyBorder="1"/>
    <xf numFmtId="0" fontId="15" fillId="0" borderId="0" xfId="0" applyFont="1" applyFill="1" applyBorder="1"/>
    <xf numFmtId="170" fontId="15" fillId="0" borderId="0" xfId="0" applyNumberFormat="1" applyFont="1" applyFill="1" applyBorder="1"/>
    <xf numFmtId="0" fontId="16" fillId="0" borderId="2" xfId="1" applyNumberFormat="1" applyFont="1" applyFill="1" applyBorder="1"/>
    <xf numFmtId="165" fontId="16" fillId="0" borderId="2" xfId="0" applyNumberFormat="1" applyFont="1" applyFill="1" applyBorder="1"/>
    <xf numFmtId="169" fontId="16" fillId="0" borderId="2" xfId="0" applyNumberFormat="1" applyFont="1" applyFill="1" applyBorder="1"/>
    <xf numFmtId="2" fontId="16" fillId="0" borderId="0" xfId="0" applyNumberFormat="1" applyFont="1" applyFill="1" applyBorder="1"/>
    <xf numFmtId="0" fontId="16" fillId="0" borderId="0" xfId="0" applyFont="1" applyFill="1" applyAlignment="1">
      <alignment horizontal="left"/>
    </xf>
    <xf numFmtId="0" fontId="16" fillId="0" borderId="2" xfId="0" applyFont="1" applyBorder="1" applyAlignment="1">
      <alignment horizontal="center"/>
    </xf>
    <xf numFmtId="2" fontId="16" fillId="0" borderId="2" xfId="0" applyNumberFormat="1" applyFont="1" applyBorder="1" applyAlignment="1">
      <alignment horizontal="center"/>
    </xf>
    <xf numFmtId="0" fontId="29" fillId="17" borderId="2" xfId="0" applyFont="1" applyFill="1" applyBorder="1" applyAlignment="1">
      <alignment horizontal="center" vertical="center"/>
    </xf>
    <xf numFmtId="0" fontId="16" fillId="0" borderId="0" xfId="0" applyFont="1"/>
    <xf numFmtId="0" fontId="21" fillId="0" borderId="0" xfId="0" applyFont="1" applyAlignment="1">
      <alignment horizontal="center"/>
    </xf>
    <xf numFmtId="3" fontId="21" fillId="0" borderId="0" xfId="0" applyNumberFormat="1" applyFont="1" applyAlignment="1">
      <alignment horizontal="center"/>
    </xf>
    <xf numFmtId="0" fontId="16" fillId="8" borderId="18" xfId="0" applyFont="1" applyFill="1" applyBorder="1" applyAlignment="1">
      <alignment vertical="center" wrapText="1"/>
    </xf>
    <xf numFmtId="0" fontId="16" fillId="7" borderId="19" xfId="0" applyFont="1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16" fillId="2" borderId="1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15" fillId="0" borderId="21" xfId="0" applyFont="1" applyBorder="1" applyAlignment="1">
      <alignment vertical="center" wrapText="1"/>
    </xf>
    <xf numFmtId="3" fontId="15" fillId="0" borderId="6" xfId="0" applyNumberFormat="1" applyFont="1" applyBorder="1" applyAlignment="1">
      <alignment horizontal="center" vertical="center" wrapText="1"/>
    </xf>
    <xf numFmtId="3" fontId="15" fillId="9" borderId="22" xfId="0" applyNumberFormat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vertical="center" wrapText="1"/>
    </xf>
    <xf numFmtId="3" fontId="15" fillId="0" borderId="2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3" fontId="21" fillId="0" borderId="0" xfId="0" applyNumberFormat="1" applyFont="1" applyAlignment="1">
      <alignment vertical="center" wrapText="1"/>
    </xf>
    <xf numFmtId="0" fontId="16" fillId="8" borderId="19" xfId="0" applyFont="1" applyFill="1" applyBorder="1" applyAlignment="1">
      <alignment horizontal="center" vertical="center" wrapText="1"/>
    </xf>
    <xf numFmtId="164" fontId="21" fillId="0" borderId="13" xfId="0" applyNumberFormat="1" applyFont="1" applyBorder="1" applyAlignment="1">
      <alignment vertical="center" wrapText="1"/>
    </xf>
    <xf numFmtId="164" fontId="21" fillId="0" borderId="6" xfId="0" applyNumberFormat="1" applyFont="1" applyBorder="1" applyAlignment="1">
      <alignment horizontal="center" vertical="center" wrapText="1"/>
    </xf>
    <xf numFmtId="164" fontId="21" fillId="9" borderId="6" xfId="0" applyNumberFormat="1" applyFont="1" applyFill="1" applyBorder="1" applyAlignment="1">
      <alignment horizontal="center" vertical="center" wrapText="1"/>
    </xf>
    <xf numFmtId="164" fontId="21" fillId="0" borderId="22" xfId="0" applyNumberFormat="1" applyFont="1" applyBorder="1" applyAlignment="1">
      <alignment horizontal="center" vertical="center" wrapText="1"/>
    </xf>
    <xf numFmtId="164" fontId="21" fillId="0" borderId="23" xfId="0" applyNumberFormat="1" applyFont="1" applyBorder="1" applyAlignment="1">
      <alignment vertical="center" wrapText="1"/>
    </xf>
    <xf numFmtId="164" fontId="21" fillId="0" borderId="12" xfId="0" applyNumberFormat="1" applyFont="1" applyBorder="1" applyAlignment="1">
      <alignment vertical="center" wrapText="1"/>
    </xf>
    <xf numFmtId="164" fontId="21" fillId="0" borderId="3" xfId="0" applyNumberFormat="1" applyFont="1" applyBorder="1" applyAlignment="1">
      <alignment horizontal="center" vertical="center" wrapText="1"/>
    </xf>
    <xf numFmtId="164" fontId="21" fillId="9" borderId="3" xfId="0" applyNumberFormat="1" applyFont="1" applyFill="1" applyBorder="1" applyAlignment="1">
      <alignment horizontal="center" vertical="center" wrapText="1"/>
    </xf>
    <xf numFmtId="164" fontId="21" fillId="0" borderId="24" xfId="0" applyNumberFormat="1" applyFont="1" applyBorder="1" applyAlignment="1">
      <alignment horizontal="center" vertical="center" wrapText="1"/>
    </xf>
    <xf numFmtId="164" fontId="21" fillId="0" borderId="2" xfId="0" applyNumberFormat="1" applyFont="1" applyBorder="1" applyAlignment="1">
      <alignment vertical="center" wrapText="1"/>
    </xf>
    <xf numFmtId="164" fontId="21" fillId="0" borderId="2" xfId="0" applyNumberFormat="1" applyFont="1" applyBorder="1" applyAlignment="1">
      <alignment horizontal="center" vertical="center" wrapText="1"/>
    </xf>
    <xf numFmtId="164" fontId="21" fillId="9" borderId="2" xfId="0" applyNumberFormat="1" applyFont="1" applyFill="1" applyBorder="1" applyAlignment="1">
      <alignment horizontal="center" vertical="center" wrapText="1"/>
    </xf>
    <xf numFmtId="164" fontId="22" fillId="0" borderId="2" xfId="0" applyNumberFormat="1" applyFont="1" applyBorder="1"/>
    <xf numFmtId="164" fontId="22" fillId="0" borderId="2" xfId="0" applyNumberFormat="1" applyFont="1" applyBorder="1" applyAlignment="1">
      <alignment horizontal="center"/>
    </xf>
    <xf numFmtId="164" fontId="22" fillId="9" borderId="2" xfId="0" applyNumberFormat="1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21" fillId="0" borderId="48" xfId="0" applyFont="1" applyBorder="1" applyAlignment="1">
      <alignment horizontal="center"/>
    </xf>
    <xf numFmtId="164" fontId="21" fillId="0" borderId="48" xfId="0" applyNumberFormat="1" applyFont="1" applyBorder="1" applyAlignment="1">
      <alignment horizontal="center"/>
    </xf>
    <xf numFmtId="164" fontId="15" fillId="0" borderId="2" xfId="0" applyNumberFormat="1" applyFont="1" applyBorder="1" applyAlignment="1">
      <alignment horizontal="center"/>
    </xf>
    <xf numFmtId="164" fontId="15" fillId="0" borderId="48" xfId="0" applyNumberFormat="1" applyFont="1" applyBorder="1" applyAlignment="1">
      <alignment horizontal="center"/>
    </xf>
    <xf numFmtId="0" fontId="20" fillId="0" borderId="48" xfId="0" applyFont="1" applyFill="1" applyBorder="1" applyAlignment="1">
      <alignment horizontal="center" vertical="center" wrapText="1"/>
    </xf>
    <xf numFmtId="0" fontId="22" fillId="3" borderId="2" xfId="0" applyFont="1" applyFill="1" applyBorder="1"/>
    <xf numFmtId="164" fontId="22" fillId="3" borderId="2" xfId="0" applyNumberFormat="1" applyFont="1" applyFill="1" applyBorder="1"/>
    <xf numFmtId="164" fontId="22" fillId="3" borderId="48" xfId="0" applyNumberFormat="1" applyFont="1" applyFill="1" applyBorder="1"/>
    <xf numFmtId="0" fontId="20" fillId="3" borderId="48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1" fillId="0" borderId="2" xfId="0" applyFont="1" applyBorder="1"/>
    <xf numFmtId="165" fontId="21" fillId="0" borderId="2" xfId="0" applyNumberFormat="1" applyFont="1" applyBorder="1" applyAlignment="1">
      <alignment horizontal="center"/>
    </xf>
    <xf numFmtId="165" fontId="21" fillId="0" borderId="0" xfId="0" applyNumberFormat="1" applyFont="1" applyBorder="1" applyAlignment="1">
      <alignment horizontal="center"/>
    </xf>
    <xf numFmtId="2" fontId="21" fillId="0" borderId="2" xfId="0" applyNumberFormat="1" applyFont="1" applyBorder="1" applyAlignment="1">
      <alignment horizontal="right"/>
    </xf>
    <xf numFmtId="2" fontId="21" fillId="0" borderId="2" xfId="0" applyNumberFormat="1" applyFont="1" applyBorder="1" applyAlignment="1">
      <alignment horizontal="center"/>
    </xf>
    <xf numFmtId="0" fontId="29" fillId="17" borderId="2" xfId="0" applyFont="1" applyFill="1" applyBorder="1" applyAlignment="1">
      <alignment horizontal="right"/>
    </xf>
    <xf numFmtId="0" fontId="29" fillId="17" borderId="2" xfId="0" applyFont="1" applyFill="1" applyBorder="1" applyAlignment="1">
      <alignment horizontal="center"/>
    </xf>
    <xf numFmtId="2" fontId="29" fillId="17" borderId="2" xfId="0" applyNumberFormat="1" applyFont="1" applyFill="1" applyBorder="1" applyAlignment="1">
      <alignment horizontal="center"/>
    </xf>
    <xf numFmtId="2" fontId="36" fillId="17" borderId="2" xfId="0" applyNumberFormat="1" applyFont="1" applyFill="1" applyBorder="1" applyAlignment="1">
      <alignment horizontal="right"/>
    </xf>
    <xf numFmtId="0" fontId="36" fillId="17" borderId="2" xfId="0" applyFont="1" applyFill="1" applyBorder="1" applyAlignment="1">
      <alignment horizontal="center"/>
    </xf>
    <xf numFmtId="0" fontId="37" fillId="0" borderId="0" xfId="0" applyFont="1"/>
    <xf numFmtId="0" fontId="30" fillId="0" borderId="0" xfId="0" applyFont="1" applyAlignment="1">
      <alignment horizontal="center"/>
    </xf>
    <xf numFmtId="0" fontId="20" fillId="0" borderId="2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left" vertical="center" wrapText="1"/>
    </xf>
    <xf numFmtId="164" fontId="20" fillId="0" borderId="2" xfId="0" applyNumberFormat="1" applyFont="1" applyFill="1" applyBorder="1" applyAlignment="1">
      <alignment horizontal="right" vertical="center" wrapText="1"/>
    </xf>
    <xf numFmtId="0" fontId="38" fillId="0" borderId="2" xfId="0" applyFont="1" applyBorder="1" applyAlignment="1">
      <alignment horizontal="center" vertical="center" wrapText="1"/>
    </xf>
    <xf numFmtId="10" fontId="31" fillId="0" borderId="48" xfId="0" applyNumberFormat="1" applyFont="1" applyBorder="1" applyAlignment="1">
      <alignment horizontal="right"/>
    </xf>
    <xf numFmtId="0" fontId="21" fillId="0" borderId="2" xfId="0" applyFont="1" applyBorder="1" applyAlignment="1">
      <alignment horizontal="right" vertical="center"/>
    </xf>
    <xf numFmtId="164" fontId="21" fillId="0" borderId="2" xfId="0" applyNumberFormat="1" applyFont="1" applyBorder="1" applyAlignment="1">
      <alignment horizontal="right" vertical="center"/>
    </xf>
    <xf numFmtId="0" fontId="16" fillId="0" borderId="2" xfId="0" applyFont="1" applyBorder="1"/>
    <xf numFmtId="164" fontId="31" fillId="0" borderId="17" xfId="0" applyNumberFormat="1" applyFont="1" applyBorder="1" applyAlignment="1">
      <alignment horizontal="right"/>
    </xf>
    <xf numFmtId="164" fontId="22" fillId="0" borderId="2" xfId="0" applyNumberFormat="1" applyFont="1" applyBorder="1" applyAlignment="1">
      <alignment horizontal="right" vertical="center"/>
    </xf>
    <xf numFmtId="0" fontId="16" fillId="0" borderId="2" xfId="0" applyFont="1" applyBorder="1" applyAlignment="1">
      <alignment horizontal="left" vertical="center" wrapText="1"/>
    </xf>
    <xf numFmtId="3" fontId="38" fillId="0" borderId="2" xfId="0" applyNumberFormat="1" applyFont="1" applyFill="1" applyBorder="1" applyAlignment="1">
      <alignment horizontal="right" vertical="center" wrapText="1"/>
    </xf>
    <xf numFmtId="3" fontId="38" fillId="0" borderId="48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 applyAlignment="1">
      <alignment horizontal="right" vertical="center"/>
    </xf>
    <xf numFmtId="164" fontId="16" fillId="0" borderId="2" xfId="0" applyNumberFormat="1" applyFont="1" applyFill="1" applyBorder="1" applyAlignment="1">
      <alignment horizontal="right" vertical="center"/>
    </xf>
    <xf numFmtId="0" fontId="29" fillId="17" borderId="2" xfId="0" applyFont="1" applyFill="1" applyBorder="1" applyAlignment="1">
      <alignment horizontal="center" vertical="center" wrapText="1"/>
    </xf>
    <xf numFmtId="0" fontId="29" fillId="17" borderId="48" xfId="0" applyFont="1" applyFill="1" applyBorder="1" applyAlignment="1">
      <alignment horizontal="center" vertical="center" wrapText="1"/>
    </xf>
    <xf numFmtId="0" fontId="16" fillId="0" borderId="0" xfId="0" applyFont="1" applyAlignment="1"/>
    <xf numFmtId="0" fontId="16" fillId="3" borderId="1" xfId="0" applyFont="1" applyFill="1" applyBorder="1" applyAlignment="1">
      <alignment horizontal="center" vertical="center" wrapText="1"/>
    </xf>
    <xf numFmtId="0" fontId="16" fillId="0" borderId="2" xfId="0" applyFont="1" applyBorder="1" applyAlignment="1"/>
    <xf numFmtId="164" fontId="21" fillId="9" borderId="2" xfId="0" applyNumberFormat="1" applyFont="1" applyFill="1" applyBorder="1"/>
    <xf numFmtId="164" fontId="16" fillId="9" borderId="2" xfId="0" applyNumberFormat="1" applyFont="1" applyFill="1" applyBorder="1" applyAlignment="1"/>
    <xf numFmtId="0" fontId="15" fillId="0" borderId="2" xfId="0" applyFont="1" applyBorder="1" applyAlignment="1"/>
    <xf numFmtId="164" fontId="15" fillId="9" borderId="2" xfId="0" applyNumberFormat="1" applyFont="1" applyFill="1" applyBorder="1" applyAlignment="1"/>
    <xf numFmtId="0" fontId="15" fillId="0" borderId="2" xfId="0" applyFont="1" applyFill="1" applyBorder="1" applyAlignment="1"/>
    <xf numFmtId="0" fontId="16" fillId="0" borderId="2" xfId="0" applyFont="1" applyFill="1" applyBorder="1" applyAlignment="1"/>
    <xf numFmtId="164" fontId="21" fillId="0" borderId="0" xfId="0" applyNumberFormat="1" applyFont="1"/>
    <xf numFmtId="0" fontId="29" fillId="17" borderId="1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/>
    <xf numFmtId="164" fontId="16" fillId="18" borderId="2" xfId="0" applyNumberFormat="1" applyFont="1" applyFill="1" applyBorder="1" applyAlignment="1"/>
    <xf numFmtId="2" fontId="16" fillId="18" borderId="2" xfId="0" applyNumberFormat="1" applyFont="1" applyFill="1" applyBorder="1" applyAlignment="1"/>
    <xf numFmtId="0" fontId="11" fillId="0" borderId="0" xfId="0" applyFont="1"/>
    <xf numFmtId="164" fontId="15" fillId="9" borderId="2" xfId="0" applyNumberFormat="1" applyFont="1" applyFill="1" applyBorder="1"/>
    <xf numFmtId="14" fontId="16" fillId="3" borderId="1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wrapText="1"/>
    </xf>
    <xf numFmtId="0" fontId="16" fillId="2" borderId="4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vertical="center"/>
    </xf>
    <xf numFmtId="0" fontId="16" fillId="2" borderId="14" xfId="0" applyFont="1" applyFill="1" applyBorder="1" applyAlignment="1">
      <alignment vertical="center"/>
    </xf>
    <xf numFmtId="0" fontId="16" fillId="2" borderId="14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vertical="center"/>
    </xf>
    <xf numFmtId="0" fontId="16" fillId="4" borderId="5" xfId="0" applyFont="1" applyFill="1" applyBorder="1" applyAlignment="1">
      <alignment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17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left" vertical="center"/>
    </xf>
    <xf numFmtId="164" fontId="15" fillId="0" borderId="6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left" vertical="center"/>
    </xf>
    <xf numFmtId="164" fontId="15" fillId="0" borderId="2" xfId="0" applyNumberFormat="1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vertical="center"/>
    </xf>
    <xf numFmtId="164" fontId="16" fillId="4" borderId="1" xfId="0" applyNumberFormat="1" applyFont="1" applyFill="1" applyBorder="1" applyAlignment="1">
      <alignment horizontal="center" vertical="center"/>
    </xf>
    <xf numFmtId="164" fontId="40" fillId="4" borderId="5" xfId="0" applyNumberFormat="1" applyFont="1" applyFill="1" applyBorder="1" applyAlignment="1">
      <alignment horizontal="center"/>
    </xf>
    <xf numFmtId="164" fontId="16" fillId="4" borderId="5" xfId="0" applyNumberFormat="1" applyFont="1" applyFill="1" applyBorder="1" applyAlignment="1">
      <alignment horizontal="center" vertical="center"/>
    </xf>
    <xf numFmtId="164" fontId="16" fillId="4" borderId="17" xfId="0" applyNumberFormat="1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vertical="center"/>
    </xf>
    <xf numFmtId="164" fontId="16" fillId="4" borderId="2" xfId="0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164" fontId="16" fillId="2" borderId="1" xfId="0" applyNumberFormat="1" applyFont="1" applyFill="1" applyBorder="1" applyAlignment="1">
      <alignment horizontal="center" vertical="center"/>
    </xf>
    <xf numFmtId="164" fontId="16" fillId="2" borderId="14" xfId="0" applyNumberFormat="1" applyFont="1" applyFill="1" applyBorder="1" applyAlignment="1">
      <alignment horizontal="center" vertical="center"/>
    </xf>
    <xf numFmtId="164" fontId="16" fillId="2" borderId="12" xfId="0" applyNumberFormat="1" applyFont="1" applyFill="1" applyBorder="1" applyAlignment="1">
      <alignment horizontal="center" vertical="center"/>
    </xf>
    <xf numFmtId="164" fontId="15" fillId="9" borderId="2" xfId="0" applyNumberFormat="1" applyFont="1" applyFill="1" applyBorder="1" applyAlignment="1">
      <alignment horizontal="center" vertical="center"/>
    </xf>
    <xf numFmtId="164" fontId="15" fillId="9" borderId="6" xfId="0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vertical="center"/>
    </xf>
    <xf numFmtId="164" fontId="16" fillId="2" borderId="2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left"/>
    </xf>
    <xf numFmtId="164" fontId="16" fillId="0" borderId="2" xfId="0" applyNumberFormat="1" applyFont="1" applyBorder="1" applyAlignment="1">
      <alignment horizontal="right"/>
    </xf>
    <xf numFmtId="0" fontId="16" fillId="4" borderId="2" xfId="0" applyFont="1" applyFill="1" applyBorder="1" applyAlignment="1">
      <alignment horizontal="left"/>
    </xf>
    <xf numFmtId="164" fontId="16" fillId="4" borderId="2" xfId="0" applyNumberFormat="1" applyFont="1" applyFill="1" applyBorder="1" applyAlignment="1">
      <alignment horizontal="right"/>
    </xf>
    <xf numFmtId="0" fontId="16" fillId="10" borderId="2" xfId="0" applyFont="1" applyFill="1" applyBorder="1" applyAlignment="1">
      <alignment horizontal="left"/>
    </xf>
    <xf numFmtId="9" fontId="16" fillId="10" borderId="2" xfId="0" applyNumberFormat="1" applyFont="1" applyFill="1" applyBorder="1"/>
    <xf numFmtId="0" fontId="15" fillId="0" borderId="0" xfId="0" applyFont="1"/>
    <xf numFmtId="6" fontId="16" fillId="10" borderId="2" xfId="0" applyNumberFormat="1" applyFont="1" applyFill="1" applyBorder="1"/>
    <xf numFmtId="0" fontId="22" fillId="10" borderId="2" xfId="0" applyFont="1" applyFill="1" applyBorder="1"/>
    <xf numFmtId="9" fontId="22" fillId="10" borderId="2" xfId="0" applyNumberFormat="1" applyFont="1" applyFill="1" applyBorder="1"/>
    <xf numFmtId="8" fontId="22" fillId="10" borderId="2" xfId="0" applyNumberFormat="1" applyFont="1" applyFill="1" applyBorder="1"/>
    <xf numFmtId="0" fontId="21" fillId="9" borderId="0" xfId="0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/>
    </xf>
    <xf numFmtId="166" fontId="21" fillId="9" borderId="48" xfId="0" applyNumberFormat="1" applyFont="1" applyFill="1" applyBorder="1"/>
    <xf numFmtId="164" fontId="21" fillId="9" borderId="0" xfId="0" applyNumberFormat="1" applyFont="1" applyFill="1" applyBorder="1"/>
    <xf numFmtId="0" fontId="21" fillId="9" borderId="0" xfId="0" applyFont="1" applyFill="1"/>
    <xf numFmtId="164" fontId="22" fillId="9" borderId="0" xfId="0" applyNumberFormat="1" applyFont="1" applyFill="1" applyBorder="1"/>
    <xf numFmtId="0" fontId="30" fillId="0" borderId="0" xfId="0" applyFont="1"/>
    <xf numFmtId="164" fontId="21" fillId="0" borderId="2" xfId="0" applyNumberFormat="1" applyFont="1" applyBorder="1"/>
    <xf numFmtId="9" fontId="21" fillId="0" borderId="2" xfId="1" applyNumberFormat="1" applyFont="1" applyBorder="1" applyAlignment="1">
      <alignment horizontal="center"/>
    </xf>
    <xf numFmtId="164" fontId="21" fillId="0" borderId="48" xfId="0" applyNumberFormat="1" applyFont="1" applyBorder="1" applyAlignment="1">
      <alignment vertical="center" wrapText="1"/>
    </xf>
    <xf numFmtId="0" fontId="15" fillId="0" borderId="48" xfId="0" applyFont="1" applyBorder="1" applyAlignment="1">
      <alignment vertical="center" wrapText="1"/>
    </xf>
    <xf numFmtId="164" fontId="21" fillId="0" borderId="48" xfId="0" applyNumberFormat="1" applyFont="1" applyBorder="1"/>
    <xf numFmtId="9" fontId="21" fillId="0" borderId="48" xfId="1" applyNumberFormat="1" applyFont="1" applyBorder="1" applyAlignment="1">
      <alignment horizontal="center"/>
    </xf>
    <xf numFmtId="164" fontId="22" fillId="9" borderId="2" xfId="0" applyNumberFormat="1" applyFont="1" applyFill="1" applyBorder="1"/>
    <xf numFmtId="2" fontId="21" fillId="0" borderId="0" xfId="0" applyNumberFormat="1" applyFont="1"/>
    <xf numFmtId="1" fontId="21" fillId="0" borderId="0" xfId="0" applyNumberFormat="1" applyFont="1"/>
    <xf numFmtId="0" fontId="21" fillId="0" borderId="0" xfId="0" applyFont="1" applyFill="1" applyBorder="1" applyAlignment="1">
      <alignment horizontal="center"/>
    </xf>
    <xf numFmtId="168" fontId="21" fillId="0" borderId="48" xfId="0" applyNumberFormat="1" applyFont="1" applyBorder="1" applyAlignment="1">
      <alignment horizontal="center"/>
    </xf>
    <xf numFmtId="167" fontId="21" fillId="0" borderId="48" xfId="0" applyNumberFormat="1" applyFont="1" applyBorder="1" applyAlignment="1">
      <alignment horizontal="center"/>
    </xf>
    <xf numFmtId="167" fontId="41" fillId="0" borderId="2" xfId="0" applyNumberFormat="1" applyFont="1" applyBorder="1" applyAlignment="1">
      <alignment horizontal="right"/>
    </xf>
    <xf numFmtId="167" fontId="15" fillId="0" borderId="48" xfId="0" applyNumberFormat="1" applyFont="1" applyBorder="1" applyAlignment="1">
      <alignment horizontal="center"/>
    </xf>
    <xf numFmtId="167" fontId="41" fillId="0" borderId="1" xfId="0" applyNumberFormat="1" applyFont="1" applyBorder="1" applyAlignment="1">
      <alignment horizontal="right"/>
    </xf>
    <xf numFmtId="168" fontId="21" fillId="0" borderId="1" xfId="0" applyNumberFormat="1" applyFont="1" applyBorder="1" applyAlignment="1">
      <alignment horizontal="center"/>
    </xf>
    <xf numFmtId="167" fontId="21" fillId="0" borderId="1" xfId="0" applyNumberFormat="1" applyFont="1" applyBorder="1" applyAlignment="1">
      <alignment horizontal="center"/>
    </xf>
    <xf numFmtId="167" fontId="15" fillId="0" borderId="1" xfId="0" applyNumberFormat="1" applyFont="1" applyBorder="1" applyAlignment="1">
      <alignment horizontal="center"/>
    </xf>
    <xf numFmtId="168" fontId="42" fillId="0" borderId="18" xfId="0" applyNumberFormat="1" applyFont="1" applyBorder="1" applyAlignment="1">
      <alignment horizontal="center"/>
    </xf>
    <xf numFmtId="167" fontId="42" fillId="0" borderId="19" xfId="0" applyNumberFormat="1" applyFont="1" applyBorder="1" applyAlignment="1">
      <alignment horizontal="center"/>
    </xf>
    <xf numFmtId="167" fontId="42" fillId="0" borderId="20" xfId="0" applyNumberFormat="1" applyFont="1" applyBorder="1" applyAlignment="1">
      <alignment horizontal="right"/>
    </xf>
    <xf numFmtId="168" fontId="21" fillId="0" borderId="6" xfId="0" applyNumberFormat="1" applyFont="1" applyBorder="1" applyAlignment="1">
      <alignment horizontal="center"/>
    </xf>
    <xf numFmtId="167" fontId="21" fillId="0" borderId="3" xfId="0" applyNumberFormat="1" applyFont="1" applyBorder="1" applyAlignment="1">
      <alignment horizontal="center"/>
    </xf>
    <xf numFmtId="167" fontId="15" fillId="0" borderId="49" xfId="0" applyNumberFormat="1" applyFont="1" applyBorder="1" applyAlignment="1">
      <alignment horizontal="center"/>
    </xf>
    <xf numFmtId="167" fontId="15" fillId="0" borderId="3" xfId="0" applyNumberFormat="1" applyFont="1" applyBorder="1" applyAlignment="1">
      <alignment horizontal="center"/>
    </xf>
    <xf numFmtId="167" fontId="42" fillId="0" borderId="6" xfId="0" applyNumberFormat="1" applyFont="1" applyBorder="1" applyAlignment="1">
      <alignment horizontal="right"/>
    </xf>
    <xf numFmtId="167" fontId="42" fillId="0" borderId="2" xfId="0" applyNumberFormat="1" applyFont="1" applyBorder="1" applyAlignment="1">
      <alignment horizontal="right"/>
    </xf>
    <xf numFmtId="0" fontId="34" fillId="0" borderId="0" xfId="0" applyFont="1" applyAlignment="1">
      <alignment horizontal="center" vertical="center"/>
    </xf>
    <xf numFmtId="0" fontId="33" fillId="0" borderId="39" xfId="0" applyFont="1" applyBorder="1" applyAlignment="1">
      <alignment horizontal="center" vertical="center"/>
    </xf>
    <xf numFmtId="0" fontId="33" fillId="0" borderId="39" xfId="0" applyFont="1" applyBorder="1"/>
    <xf numFmtId="164" fontId="34" fillId="0" borderId="2" xfId="0" applyNumberFormat="1" applyFont="1" applyBorder="1" applyAlignment="1">
      <alignment horizontal="center" vertical="center"/>
    </xf>
    <xf numFmtId="164" fontId="34" fillId="0" borderId="40" xfId="0" applyNumberFormat="1" applyFont="1" applyBorder="1" applyAlignment="1">
      <alignment horizontal="center" vertical="center"/>
    </xf>
    <xf numFmtId="0" fontId="33" fillId="0" borderId="41" xfId="0" applyFont="1" applyBorder="1" applyAlignment="1">
      <alignment horizontal="center" vertical="center"/>
    </xf>
    <xf numFmtId="0" fontId="33" fillId="0" borderId="41" xfId="0" applyFont="1" applyBorder="1"/>
    <xf numFmtId="164" fontId="34" fillId="0" borderId="42" xfId="0" applyNumberFormat="1" applyFont="1" applyBorder="1" applyAlignment="1">
      <alignment horizontal="center" vertical="center"/>
    </xf>
    <xf numFmtId="164" fontId="34" fillId="0" borderId="44" xfId="0" applyNumberFormat="1" applyFont="1" applyBorder="1" applyAlignment="1">
      <alignment horizontal="center" vertical="center"/>
    </xf>
    <xf numFmtId="0" fontId="33" fillId="0" borderId="32" xfId="0" applyFont="1" applyBorder="1" applyAlignment="1">
      <alignment wrapText="1"/>
    </xf>
    <xf numFmtId="2" fontId="34" fillId="0" borderId="26" xfId="0" applyNumberFormat="1" applyFont="1" applyBorder="1" applyAlignment="1">
      <alignment horizontal="center" vertical="center"/>
    </xf>
    <xf numFmtId="2" fontId="34" fillId="0" borderId="8" xfId="0" applyNumberFormat="1" applyFont="1" applyBorder="1" applyAlignment="1">
      <alignment horizontal="center" vertical="center"/>
    </xf>
    <xf numFmtId="2" fontId="34" fillId="9" borderId="8" xfId="0" applyNumberFormat="1" applyFont="1" applyFill="1" applyBorder="1" applyAlignment="1">
      <alignment horizontal="center" vertical="center"/>
    </xf>
    <xf numFmtId="2" fontId="34" fillId="9" borderId="7" xfId="0" applyNumberFormat="1" applyFont="1" applyFill="1" applyBorder="1" applyAlignment="1">
      <alignment horizontal="center" vertical="center"/>
    </xf>
    <xf numFmtId="0" fontId="33" fillId="0" borderId="43" xfId="0" applyFont="1" applyBorder="1" applyAlignment="1">
      <alignment wrapText="1"/>
    </xf>
    <xf numFmtId="2" fontId="34" fillId="0" borderId="9" xfId="0" applyNumberFormat="1" applyFont="1" applyBorder="1" applyAlignment="1">
      <alignment horizontal="center" vertical="center"/>
    </xf>
    <xf numFmtId="2" fontId="34" fillId="0" borderId="0" xfId="0" applyNumberFormat="1" applyFont="1" applyBorder="1" applyAlignment="1">
      <alignment horizontal="center" vertical="center"/>
    </xf>
    <xf numFmtId="2" fontId="34" fillId="9" borderId="0" xfId="0" applyNumberFormat="1" applyFont="1" applyFill="1" applyBorder="1" applyAlignment="1">
      <alignment horizontal="center" vertical="center"/>
    </xf>
    <xf numFmtId="2" fontId="34" fillId="9" borderId="11" xfId="0" applyNumberFormat="1" applyFont="1" applyFill="1" applyBorder="1" applyAlignment="1">
      <alignment horizontal="center" vertical="center"/>
    </xf>
    <xf numFmtId="0" fontId="33" fillId="0" borderId="33" xfId="0" applyFont="1" applyBorder="1" applyAlignment="1">
      <alignment wrapText="1"/>
    </xf>
    <xf numFmtId="1" fontId="34" fillId="0" borderId="29" xfId="0" applyNumberFormat="1" applyFont="1" applyBorder="1" applyAlignment="1">
      <alignment horizontal="center" vertical="center"/>
    </xf>
    <xf numFmtId="1" fontId="34" fillId="0" borderId="10" xfId="0" applyNumberFormat="1" applyFont="1" applyBorder="1" applyAlignment="1">
      <alignment horizontal="center" vertical="center"/>
    </xf>
    <xf numFmtId="1" fontId="34" fillId="9" borderId="10" xfId="0" applyNumberFormat="1" applyFont="1" applyFill="1" applyBorder="1" applyAlignment="1">
      <alignment horizontal="center" vertical="center"/>
    </xf>
    <xf numFmtId="1" fontId="34" fillId="9" borderId="30" xfId="0" applyNumberFormat="1" applyFont="1" applyFill="1" applyBorder="1" applyAlignment="1">
      <alignment horizontal="center" vertical="center"/>
    </xf>
    <xf numFmtId="2" fontId="34" fillId="0" borderId="7" xfId="0" applyNumberFormat="1" applyFont="1" applyBorder="1" applyAlignment="1">
      <alignment horizontal="center" vertical="center"/>
    </xf>
    <xf numFmtId="2" fontId="34" fillId="0" borderId="11" xfId="0" applyNumberFormat="1" applyFont="1" applyBorder="1" applyAlignment="1">
      <alignment horizontal="center" vertical="center"/>
    </xf>
    <xf numFmtId="2" fontId="34" fillId="0" borderId="29" xfId="0" applyNumberFormat="1" applyFont="1" applyBorder="1" applyAlignment="1">
      <alignment horizontal="center" vertical="center"/>
    </xf>
    <xf numFmtId="2" fontId="34" fillId="0" borderId="10" xfId="0" applyNumberFormat="1" applyFont="1" applyBorder="1" applyAlignment="1">
      <alignment horizontal="center" vertical="center"/>
    </xf>
    <xf numFmtId="2" fontId="34" fillId="0" borderId="30" xfId="0" applyNumberFormat="1" applyFont="1" applyBorder="1" applyAlignment="1">
      <alignment horizontal="center" vertical="center"/>
    </xf>
    <xf numFmtId="165" fontId="34" fillId="0" borderId="0" xfId="0" applyNumberFormat="1" applyFont="1" applyAlignment="1">
      <alignment horizontal="center" vertical="center"/>
    </xf>
    <xf numFmtId="2" fontId="34" fillId="0" borderId="0" xfId="0" applyNumberFormat="1" applyFont="1" applyAlignment="1">
      <alignment horizontal="center" vertical="center"/>
    </xf>
    <xf numFmtId="2" fontId="34" fillId="9" borderId="10" xfId="0" applyNumberFormat="1" applyFont="1" applyFill="1" applyBorder="1" applyAlignment="1">
      <alignment horizontal="center" vertical="center"/>
    </xf>
    <xf numFmtId="2" fontId="34" fillId="9" borderId="30" xfId="0" applyNumberFormat="1" applyFont="1" applyFill="1" applyBorder="1" applyAlignment="1">
      <alignment horizontal="center" vertical="center"/>
    </xf>
    <xf numFmtId="0" fontId="37" fillId="9" borderId="0" xfId="0" applyFont="1" applyFill="1"/>
    <xf numFmtId="0" fontId="35" fillId="17" borderId="34" xfId="0" applyFont="1" applyFill="1" applyBorder="1"/>
    <xf numFmtId="0" fontId="35" fillId="17" borderId="35" xfId="0" applyFont="1" applyFill="1" applyBorder="1" applyAlignment="1">
      <alignment horizontal="center" vertical="center"/>
    </xf>
    <xf numFmtId="0" fontId="45" fillId="17" borderId="36" xfId="0" applyFont="1" applyFill="1" applyBorder="1" applyAlignment="1">
      <alignment horizontal="center" vertical="center"/>
    </xf>
    <xf numFmtId="2" fontId="45" fillId="17" borderId="36" xfId="0" applyNumberFormat="1" applyFont="1" applyFill="1" applyBorder="1" applyAlignment="1">
      <alignment horizontal="center" vertical="center"/>
    </xf>
    <xf numFmtId="2" fontId="45" fillId="17" borderId="37" xfId="0" applyNumberFormat="1" applyFont="1" applyFill="1" applyBorder="1" applyAlignment="1">
      <alignment horizontal="center" vertical="center"/>
    </xf>
    <xf numFmtId="2" fontId="45" fillId="17" borderId="27" xfId="0" applyNumberFormat="1" applyFont="1" applyFill="1" applyBorder="1" applyAlignment="1">
      <alignment horizontal="center" vertical="center"/>
    </xf>
    <xf numFmtId="2" fontId="45" fillId="17" borderId="38" xfId="0" applyNumberFormat="1" applyFont="1" applyFill="1" applyBorder="1" applyAlignment="1">
      <alignment horizontal="center" vertical="center"/>
    </xf>
    <xf numFmtId="0" fontId="35" fillId="17" borderId="39" xfId="0" applyFont="1" applyFill="1" applyBorder="1"/>
    <xf numFmtId="0" fontId="35" fillId="17" borderId="17" xfId="0" applyFont="1" applyFill="1" applyBorder="1" applyAlignment="1">
      <alignment horizontal="center" vertical="center" wrapText="1"/>
    </xf>
    <xf numFmtId="14" fontId="29" fillId="17" borderId="1" xfId="0" applyNumberFormat="1" applyFont="1" applyFill="1" applyBorder="1" applyAlignment="1">
      <alignment horizontal="center" vertical="center" wrapText="1"/>
    </xf>
    <xf numFmtId="14" fontId="29" fillId="17" borderId="28" xfId="0" applyNumberFormat="1" applyFont="1" applyFill="1" applyBorder="1" applyAlignment="1">
      <alignment horizontal="center" vertical="center" wrapText="1"/>
    </xf>
    <xf numFmtId="0" fontId="35" fillId="17" borderId="31" xfId="0" applyFont="1" applyFill="1" applyBorder="1" applyAlignment="1">
      <alignment horizontal="left" vertical="center" wrapText="1"/>
    </xf>
    <xf numFmtId="14" fontId="29" fillId="17" borderId="47" xfId="0" applyNumberFormat="1" applyFont="1" applyFill="1" applyBorder="1" applyAlignment="1">
      <alignment horizontal="center" vertical="center" wrapText="1"/>
    </xf>
    <xf numFmtId="14" fontId="29" fillId="17" borderId="45" xfId="0" applyNumberFormat="1" applyFont="1" applyFill="1" applyBorder="1" applyAlignment="1">
      <alignment horizontal="center" vertical="center" wrapText="1"/>
    </xf>
    <xf numFmtId="14" fontId="29" fillId="17" borderId="46" xfId="0" applyNumberFormat="1" applyFont="1" applyFill="1" applyBorder="1" applyAlignment="1">
      <alignment horizontal="center" vertical="center" wrapText="1"/>
    </xf>
    <xf numFmtId="0" fontId="35" fillId="17" borderId="31" xfId="0" applyFont="1" applyFill="1" applyBorder="1" applyAlignment="1">
      <alignment horizontal="left" vertical="center"/>
    </xf>
    <xf numFmtId="0" fontId="35" fillId="17" borderId="31" xfId="0" applyFont="1" applyFill="1" applyBorder="1"/>
    <xf numFmtId="0" fontId="29" fillId="17" borderId="2" xfId="0" applyFont="1" applyFill="1" applyBorder="1"/>
    <xf numFmtId="0" fontId="36" fillId="17" borderId="2" xfId="0" applyFont="1" applyFill="1" applyBorder="1" applyAlignment="1">
      <alignment horizontal="center" vertical="center" wrapText="1"/>
    </xf>
    <xf numFmtId="0" fontId="36" fillId="17" borderId="48" xfId="0" applyFont="1" applyFill="1" applyBorder="1" applyAlignment="1">
      <alignment horizontal="center" vertical="center" wrapText="1"/>
    </xf>
    <xf numFmtId="0" fontId="29" fillId="20" borderId="2" xfId="0" applyFont="1" applyFill="1" applyBorder="1" applyAlignment="1">
      <alignment horizontal="center" vertical="center" wrapText="1"/>
    </xf>
    <xf numFmtId="0" fontId="29" fillId="20" borderId="48" xfId="0" applyFont="1" applyFill="1" applyBorder="1" applyAlignment="1">
      <alignment horizontal="center" vertical="center" wrapText="1"/>
    </xf>
    <xf numFmtId="0" fontId="29" fillId="20" borderId="2" xfId="0" applyFont="1" applyFill="1" applyBorder="1" applyAlignment="1">
      <alignment horizontal="center" vertical="center"/>
    </xf>
    <xf numFmtId="0" fontId="16" fillId="18" borderId="1" xfId="0" applyFont="1" applyFill="1" applyBorder="1"/>
    <xf numFmtId="0" fontId="16" fillId="18" borderId="1" xfId="0" applyFont="1" applyFill="1" applyBorder="1" applyAlignment="1">
      <alignment horizontal="center"/>
    </xf>
    <xf numFmtId="0" fontId="16" fillId="18" borderId="0" xfId="0" applyFont="1" applyFill="1" applyBorder="1" applyAlignment="1">
      <alignment horizontal="center"/>
    </xf>
    <xf numFmtId="0" fontId="22" fillId="18" borderId="1" xfId="0" applyFont="1" applyFill="1" applyBorder="1"/>
    <xf numFmtId="0" fontId="22" fillId="18" borderId="1" xfId="0" applyFont="1" applyFill="1" applyBorder="1" applyAlignment="1">
      <alignment horizontal="center"/>
    </xf>
    <xf numFmtId="0" fontId="22" fillId="18" borderId="0" xfId="0" applyFont="1" applyFill="1" applyBorder="1" applyAlignment="1">
      <alignment horizontal="center"/>
    </xf>
    <xf numFmtId="0" fontId="29" fillId="21" borderId="2" xfId="0" applyFont="1" applyFill="1" applyBorder="1" applyAlignment="1">
      <alignment horizontal="center" vertical="center"/>
    </xf>
    <xf numFmtId="0" fontId="29" fillId="21" borderId="2" xfId="0" applyFont="1" applyFill="1" applyBorder="1" applyAlignment="1">
      <alignment horizontal="center" vertical="center" wrapText="1"/>
    </xf>
    <xf numFmtId="0" fontId="29" fillId="21" borderId="48" xfId="0" applyFont="1" applyFill="1" applyBorder="1" applyAlignment="1">
      <alignment horizontal="center" vertical="center"/>
    </xf>
    <xf numFmtId="0" fontId="29" fillId="21" borderId="48" xfId="0" applyFont="1" applyFill="1" applyBorder="1" applyAlignment="1">
      <alignment horizontal="center" vertical="center" wrapText="1"/>
    </xf>
    <xf numFmtId="0" fontId="29" fillId="22" borderId="6" xfId="0" applyFont="1" applyFill="1" applyBorder="1" applyAlignment="1">
      <alignment horizontal="center"/>
    </xf>
    <xf numFmtId="165" fontId="29" fillId="22" borderId="6" xfId="0" applyNumberFormat="1" applyFont="1" applyFill="1" applyBorder="1" applyAlignment="1">
      <alignment horizontal="right"/>
    </xf>
    <xf numFmtId="0" fontId="47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2" fontId="37" fillId="0" borderId="15" xfId="0" applyNumberFormat="1" applyFont="1" applyBorder="1" applyAlignment="1">
      <alignment horizontal="center" vertical="center"/>
    </xf>
    <xf numFmtId="2" fontId="37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right" vertical="center"/>
    </xf>
    <xf numFmtId="0" fontId="46" fillId="0" borderId="0" xfId="0" applyFont="1"/>
    <xf numFmtId="3" fontId="0" fillId="0" borderId="0" xfId="0" applyNumberFormat="1"/>
    <xf numFmtId="3" fontId="0" fillId="11" borderId="0" xfId="0" applyNumberFormat="1" applyFill="1" applyAlignment="1">
      <alignment horizontal="left"/>
    </xf>
    <xf numFmtId="10" fontId="0" fillId="0" borderId="0" xfId="0" applyNumberFormat="1"/>
    <xf numFmtId="3" fontId="46" fillId="11" borderId="0" xfId="0" applyNumberFormat="1" applyFont="1" applyFill="1"/>
    <xf numFmtId="1" fontId="46" fillId="0" borderId="5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174" fontId="0" fillId="0" borderId="0" xfId="0" applyNumberFormat="1" applyAlignment="1">
      <alignment horizontal="center"/>
    </xf>
    <xf numFmtId="3" fontId="15" fillId="0" borderId="2" xfId="0" applyNumberFormat="1" applyFont="1" applyBorder="1" applyAlignment="1">
      <alignment horizontal="center"/>
    </xf>
    <xf numFmtId="9" fontId="21" fillId="0" borderId="0" xfId="0" applyNumberFormat="1" applyFont="1" applyAlignment="1">
      <alignment horizontal="center"/>
    </xf>
    <xf numFmtId="0" fontId="16" fillId="8" borderId="52" xfId="0" applyFont="1" applyFill="1" applyBorder="1" applyAlignment="1">
      <alignment vertical="center" wrapText="1"/>
    </xf>
    <xf numFmtId="0" fontId="15" fillId="0" borderId="53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7" fillId="0" borderId="48" xfId="0" applyFont="1" applyBorder="1" applyAlignment="1">
      <alignment horizontal="center"/>
    </xf>
    <xf numFmtId="0" fontId="7" fillId="0" borderId="48" xfId="0" applyFont="1" applyBorder="1" applyAlignment="1"/>
    <xf numFmtId="0" fontId="15" fillId="0" borderId="48" xfId="0" applyFont="1" applyBorder="1" applyAlignment="1">
      <alignment horizontal="center" vertical="center" wrapText="1"/>
    </xf>
    <xf numFmtId="0" fontId="7" fillId="0" borderId="0" xfId="0" applyFont="1" applyAlignment="1"/>
    <xf numFmtId="0" fontId="48" fillId="0" borderId="48" xfId="0" applyFont="1" applyFill="1" applyBorder="1" applyAlignment="1">
      <alignment horizontal="center" vertical="center" wrapText="1"/>
    </xf>
    <xf numFmtId="0" fontId="7" fillId="11" borderId="51" xfId="0" applyFont="1" applyFill="1" applyBorder="1" applyAlignment="1">
      <alignment horizontal="center"/>
    </xf>
    <xf numFmtId="9" fontId="15" fillId="0" borderId="48" xfId="0" applyNumberFormat="1" applyFont="1" applyBorder="1" applyAlignment="1">
      <alignment horizontal="center" vertical="center" wrapText="1"/>
    </xf>
    <xf numFmtId="174" fontId="15" fillId="0" borderId="48" xfId="0" applyNumberFormat="1" applyFont="1" applyBorder="1" applyAlignment="1">
      <alignment horizontal="center" vertical="center" wrapText="1"/>
    </xf>
    <xf numFmtId="1" fontId="15" fillId="0" borderId="48" xfId="0" applyNumberFormat="1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1" fontId="15" fillId="11" borderId="48" xfId="0" applyNumberFormat="1" applyFont="1" applyFill="1" applyBorder="1" applyAlignment="1">
      <alignment horizontal="center" vertical="center" wrapText="1"/>
    </xf>
    <xf numFmtId="1" fontId="7" fillId="0" borderId="0" xfId="0" applyNumberFormat="1" applyFont="1" applyAlignment="1">
      <alignment horizontal="center"/>
    </xf>
    <xf numFmtId="0" fontId="7" fillId="11" borderId="4" xfId="0" applyFont="1" applyFill="1" applyBorder="1" applyAlignment="1">
      <alignment horizontal="center"/>
    </xf>
    <xf numFmtId="1" fontId="8" fillId="11" borderId="17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7" fillId="23" borderId="5" xfId="0" applyFont="1" applyFill="1" applyBorder="1" applyAlignment="1"/>
    <xf numFmtId="0" fontId="7" fillId="23" borderId="17" xfId="0" applyFont="1" applyFill="1" applyBorder="1" applyAlignment="1">
      <alignment horizontal="center"/>
    </xf>
    <xf numFmtId="1" fontId="8" fillId="23" borderId="4" xfId="0" applyNumberFormat="1" applyFont="1" applyFill="1" applyBorder="1" applyAlignment="1">
      <alignment horizontal="center"/>
    </xf>
    <xf numFmtId="3" fontId="21" fillId="23" borderId="0" xfId="0" applyNumberFormat="1" applyFont="1" applyFill="1" applyAlignment="1">
      <alignment horizontal="center"/>
    </xf>
    <xf numFmtId="164" fontId="32" fillId="19" borderId="2" xfId="0" applyNumberFormat="1" applyFont="1" applyFill="1" applyBorder="1" applyAlignment="1">
      <alignment horizontal="center"/>
    </xf>
    <xf numFmtId="164" fontId="32" fillId="17" borderId="2" xfId="0" applyNumberFormat="1" applyFont="1" applyFill="1" applyBorder="1" applyAlignment="1">
      <alignment horizontal="right"/>
    </xf>
    <xf numFmtId="164" fontId="49" fillId="18" borderId="2" xfId="0" applyNumberFormat="1" applyFont="1" applyFill="1" applyBorder="1" applyAlignment="1">
      <alignment horizontal="right"/>
    </xf>
    <xf numFmtId="164" fontId="32" fillId="17" borderId="2" xfId="0" applyNumberFormat="1" applyFont="1" applyFill="1" applyBorder="1" applyAlignment="1">
      <alignment horizontal="center"/>
    </xf>
    <xf numFmtId="164" fontId="32" fillId="17" borderId="1" xfId="0" applyNumberFormat="1" applyFont="1" applyFill="1" applyBorder="1" applyAlignment="1">
      <alignment horizontal="center"/>
    </xf>
    <xf numFmtId="174" fontId="16" fillId="0" borderId="0" xfId="0" applyNumberFormat="1" applyFont="1" applyFill="1"/>
    <xf numFmtId="2" fontId="16" fillId="0" borderId="0" xfId="0" applyNumberFormat="1" applyFont="1" applyFill="1"/>
    <xf numFmtId="169" fontId="16" fillId="0" borderId="0" xfId="0" applyNumberFormat="1" applyFont="1" applyFill="1"/>
    <xf numFmtId="164" fontId="2" fillId="0" borderId="0" xfId="0" applyNumberFormat="1" applyFont="1"/>
    <xf numFmtId="0" fontId="50" fillId="0" borderId="0" xfId="0" applyFont="1"/>
    <xf numFmtId="0" fontId="51" fillId="0" borderId="48" xfId="0" applyFont="1" applyBorder="1" applyAlignment="1">
      <alignment horizontal="left"/>
    </xf>
    <xf numFmtId="0" fontId="51" fillId="0" borderId="48" xfId="0" applyFont="1" applyBorder="1"/>
    <xf numFmtId="0" fontId="50" fillId="0" borderId="48" xfId="0" applyFont="1" applyBorder="1" applyAlignment="1">
      <alignment horizontal="center"/>
    </xf>
    <xf numFmtId="0" fontId="0" fillId="0" borderId="48" xfId="0" applyBorder="1"/>
    <xf numFmtId="0" fontId="50" fillId="0" borderId="48" xfId="0" applyFont="1" applyBorder="1"/>
    <xf numFmtId="8" fontId="21" fillId="0" borderId="0" xfId="0" applyNumberFormat="1" applyFont="1"/>
    <xf numFmtId="8" fontId="34" fillId="0" borderId="0" xfId="0" applyNumberFormat="1" applyFont="1"/>
    <xf numFmtId="9" fontId="21" fillId="0" borderId="0" xfId="1" applyFont="1"/>
    <xf numFmtId="0" fontId="21" fillId="0" borderId="0" xfId="0" applyFont="1" applyAlignment="1">
      <alignment horizontal="right"/>
    </xf>
    <xf numFmtId="9" fontId="21" fillId="0" borderId="0" xfId="1" applyFont="1" applyAlignment="1">
      <alignment horizontal="center"/>
    </xf>
    <xf numFmtId="0" fontId="12" fillId="0" borderId="0" xfId="0" applyFont="1" applyFill="1" applyAlignment="1">
      <alignment horizontal="left"/>
    </xf>
    <xf numFmtId="0" fontId="26" fillId="16" borderId="2" xfId="0" applyFont="1" applyFill="1" applyBorder="1" applyAlignment="1">
      <alignment horizontal="center" vertical="center" wrapText="1"/>
    </xf>
    <xf numFmtId="0" fontId="27" fillId="0" borderId="0" xfId="0" applyFont="1" applyBorder="1" applyAlignment="1">
      <alignment vertical="center" wrapText="1"/>
    </xf>
    <xf numFmtId="0" fontId="16" fillId="0" borderId="0" xfId="0" applyFont="1" applyAlignment="1">
      <alignment horizontal="center"/>
    </xf>
    <xf numFmtId="0" fontId="0" fillId="0" borderId="50" xfId="0" applyBorder="1" applyAlignment="1">
      <alignment horizont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29" fillId="19" borderId="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5" fillId="17" borderId="2" xfId="0" applyFont="1" applyFill="1" applyBorder="1" applyAlignment="1">
      <alignment horizontal="center"/>
    </xf>
    <xf numFmtId="0" fontId="35" fillId="17" borderId="2" xfId="0" applyFont="1" applyFill="1" applyBorder="1" applyAlignment="1">
      <alignment horizontal="center" vertical="center" wrapText="1"/>
    </xf>
    <xf numFmtId="0" fontId="29" fillId="17" borderId="2" xfId="0" applyFont="1" applyFill="1" applyBorder="1" applyAlignment="1">
      <alignment horizontal="center"/>
    </xf>
    <xf numFmtId="1" fontId="16" fillId="0" borderId="25" xfId="0" applyNumberFormat="1" applyFont="1" applyFill="1" applyBorder="1" applyAlignment="1">
      <alignment horizontal="right" vertical="center"/>
    </xf>
    <xf numFmtId="1" fontId="16" fillId="0" borderId="50" xfId="0" applyNumberFormat="1" applyFont="1" applyFill="1" applyBorder="1" applyAlignment="1">
      <alignment horizontal="right" vertical="center"/>
    </xf>
    <xf numFmtId="1" fontId="16" fillId="0" borderId="16" xfId="0" applyNumberFormat="1" applyFont="1" applyFill="1" applyBorder="1" applyAlignment="1">
      <alignment horizontal="right" vertical="center"/>
    </xf>
    <xf numFmtId="1" fontId="16" fillId="0" borderId="12" xfId="0" applyNumberFormat="1" applyFont="1" applyFill="1" applyBorder="1" applyAlignment="1">
      <alignment horizontal="center" vertical="center"/>
    </xf>
    <xf numFmtId="1" fontId="16" fillId="0" borderId="13" xfId="0" applyNumberFormat="1" applyFont="1" applyFill="1" applyBorder="1" applyAlignment="1">
      <alignment horizontal="center" vertical="center"/>
    </xf>
    <xf numFmtId="1" fontId="16" fillId="0" borderId="12" xfId="0" applyNumberFormat="1" applyFont="1" applyFill="1" applyBorder="1" applyAlignment="1">
      <alignment horizontal="center" vertical="top"/>
    </xf>
    <xf numFmtId="1" fontId="16" fillId="0" borderId="13" xfId="0" applyNumberFormat="1" applyFont="1" applyFill="1" applyBorder="1" applyAlignment="1">
      <alignment horizontal="center" vertical="top"/>
    </xf>
    <xf numFmtId="0" fontId="21" fillId="0" borderId="25" xfId="0" applyFont="1" applyBorder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1" fontId="21" fillId="0" borderId="14" xfId="0" applyNumberFormat="1" applyFont="1" applyBorder="1" applyAlignment="1">
      <alignment horizontal="right" vertical="center"/>
    </xf>
    <xf numFmtId="1" fontId="21" fillId="0" borderId="15" xfId="0" applyNumberFormat="1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wrapText="1"/>
    </xf>
    <xf numFmtId="0" fontId="14" fillId="13" borderId="1" xfId="0" applyFont="1" applyFill="1" applyBorder="1" applyAlignment="1">
      <alignment horizontal="center" vertical="center"/>
    </xf>
    <xf numFmtId="0" fontId="14" fillId="13" borderId="3" xfId="0" applyFont="1" applyFill="1" applyBorder="1" applyAlignment="1">
      <alignment horizontal="center" vertical="center"/>
    </xf>
    <xf numFmtId="0" fontId="14" fillId="13" borderId="6" xfId="0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39" fillId="3" borderId="2" xfId="0" applyFont="1" applyFill="1" applyBorder="1" applyAlignment="1">
      <alignment horizontal="left" vertical="center" wrapText="1"/>
    </xf>
    <xf numFmtId="0" fontId="39" fillId="3" borderId="1" xfId="0" applyFont="1" applyFill="1" applyBorder="1" applyAlignment="1">
      <alignment horizontal="left" vertical="center" wrapText="1"/>
    </xf>
    <xf numFmtId="0" fontId="39" fillId="0" borderId="0" xfId="0" applyFont="1" applyAlignment="1">
      <alignment horizontal="center"/>
    </xf>
    <xf numFmtId="0" fontId="22" fillId="9" borderId="2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 wrapText="1"/>
    </xf>
    <xf numFmtId="0" fontId="43" fillId="0" borderId="0" xfId="0" applyFont="1" applyAlignment="1">
      <alignment horizontal="center"/>
    </xf>
    <xf numFmtId="0" fontId="44" fillId="9" borderId="0" xfId="0" applyFont="1" applyFill="1" applyAlignment="1">
      <alignment horizontal="center"/>
    </xf>
    <xf numFmtId="9" fontId="7" fillId="0" borderId="0" xfId="0" applyNumberFormat="1" applyFont="1" applyAlignment="1">
      <alignment horizontal="center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66FFFF"/>
      <color rgb="FFF666EC"/>
      <color rgb="FFF44AE8"/>
      <color rgb="FFFF3399"/>
      <color rgb="FFFF0066"/>
      <color rgb="FFFF99FF"/>
      <color rgb="FFF7D1F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'PRINCIPALES RATIOS'!$B$27</c:f>
              <c:strCache>
                <c:ptCount val="1"/>
                <c:pt idx="0">
                  <c:v>Liquidez General (AC/PC)</c:v>
                </c:pt>
              </c:strCache>
            </c:strRef>
          </c:tx>
          <c:xVal>
            <c:strRef>
              <c:f>'PRINCIPALES RATIOS'!$C$26:$J$26</c:f>
              <c:strCache>
                <c:ptCount val="8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  <c:pt idx="4">
                  <c:v>5TO TRIMESTRE</c:v>
                </c:pt>
                <c:pt idx="5">
                  <c:v>6TO TRIMESTRE</c:v>
                </c:pt>
                <c:pt idx="6">
                  <c:v>7MO TRIMESTRE</c:v>
                </c:pt>
                <c:pt idx="7">
                  <c:v>8VO TRIMESTRE</c:v>
                </c:pt>
              </c:strCache>
            </c:strRef>
          </c:xVal>
          <c:yVal>
            <c:numRef>
              <c:f>'PRINCIPALES RATIOS'!$C$27:$J$27</c:f>
              <c:numCache>
                <c:formatCode>0.00</c:formatCode>
                <c:ptCount val="8"/>
                <c:pt idx="0">
                  <c:v>3.4792584393685471</c:v>
                </c:pt>
                <c:pt idx="1">
                  <c:v>6.2383896511897161</c:v>
                </c:pt>
                <c:pt idx="2">
                  <c:v>9.5789846129421132</c:v>
                </c:pt>
                <c:pt idx="3">
                  <c:v>27.739028846526836</c:v>
                </c:pt>
                <c:pt idx="4">
                  <c:v>39.324739609330805</c:v>
                </c:pt>
                <c:pt idx="5">
                  <c:v>45.865983131706408</c:v>
                </c:pt>
                <c:pt idx="6">
                  <c:v>44.589825327246729</c:v>
                </c:pt>
                <c:pt idx="7">
                  <c:v>49.058855249106834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315520"/>
        <c:axId val="78317056"/>
      </c:scatterChart>
      <c:valAx>
        <c:axId val="78315520"/>
        <c:scaling>
          <c:orientation val="minMax"/>
        </c:scaling>
        <c:delete val="0"/>
        <c:axPos val="b"/>
        <c:majorTickMark val="out"/>
        <c:minorTickMark val="none"/>
        <c:tickLblPos val="nextTo"/>
        <c:crossAx val="78317056"/>
        <c:crosses val="autoZero"/>
        <c:crossBetween val="midCat"/>
      </c:valAx>
      <c:valAx>
        <c:axId val="78317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783155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itchFamily="18" charset="0"/>
        </a:defRPr>
      </a:pPr>
      <a:endParaRPr lang="es-PE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SEXO</a:t>
            </a:r>
          </a:p>
        </c:rich>
      </c:tx>
      <c:layout>
        <c:manualLayout>
          <c:xMode val="edge"/>
          <c:yMode val="edge"/>
          <c:x val="0.40130555555555558"/>
          <c:y val="3.7037037037037042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encuestas!$B$21:$B$22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encuestas!$C$21:$C$22</c:f>
              <c:numCache>
                <c:formatCode>General</c:formatCode>
                <c:ptCount val="2"/>
                <c:pt idx="0">
                  <c:v>88</c:v>
                </c:pt>
                <c:pt idx="1">
                  <c:v>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222060618218907"/>
          <c:y val="1.1840377095720202E-2"/>
          <c:w val="0.33555856473354856"/>
          <c:h val="0.64509422036531172"/>
        </c:manualLayout>
      </c:layout>
      <c:pie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encuestas!$B$33:$B$34</c:f>
              <c:strCache>
                <c:ptCount val="2"/>
                <c:pt idx="0">
                  <c:v>SI </c:v>
                </c:pt>
                <c:pt idx="1">
                  <c:v>NO</c:v>
                </c:pt>
              </c:strCache>
            </c:strRef>
          </c:cat>
          <c:val>
            <c:numRef>
              <c:f>encuestas!$C$33:$C$34</c:f>
              <c:numCache>
                <c:formatCode>General</c:formatCode>
                <c:ptCount val="2"/>
                <c:pt idx="0">
                  <c:v>180</c:v>
                </c:pt>
                <c:pt idx="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>
        <c:manualLayout>
          <c:xMode val="edge"/>
          <c:yMode val="edge"/>
          <c:x val="0.38687062206396189"/>
          <c:y val="0.9034013605442176"/>
          <c:w val="0.15831820385509143"/>
          <c:h val="9.3264770475119191E-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121430843871782"/>
          <c:y val="3.3316321231327467E-2"/>
          <c:w val="0.29759110962193552"/>
          <c:h val="0.56626648389599066"/>
        </c:manualLayout>
      </c:layout>
      <c:pie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encuestas!$B$48:$B$54</c:f>
              <c:strCache>
                <c:ptCount val="7"/>
                <c:pt idx="0">
                  <c:v>HAWAIANA</c:v>
                </c:pt>
                <c:pt idx="1">
                  <c:v>SALAMI</c:v>
                </c:pt>
                <c:pt idx="2">
                  <c:v>JAMON Y CHAMPIÑON</c:v>
                </c:pt>
                <c:pt idx="3">
                  <c:v>MEXICANA</c:v>
                </c:pt>
                <c:pt idx="4">
                  <c:v>VEGETARIANA</c:v>
                </c:pt>
                <c:pt idx="5">
                  <c:v>PEPERONI</c:v>
                </c:pt>
                <c:pt idx="6">
                  <c:v>ITALIANA</c:v>
                </c:pt>
              </c:strCache>
            </c:strRef>
          </c:cat>
          <c:val>
            <c:numRef>
              <c:f>encuestas!$C$48:$C$54</c:f>
              <c:numCache>
                <c:formatCode>General</c:formatCode>
                <c:ptCount val="7"/>
                <c:pt idx="0">
                  <c:v>42</c:v>
                </c:pt>
                <c:pt idx="1">
                  <c:v>15</c:v>
                </c:pt>
                <c:pt idx="2">
                  <c:v>47</c:v>
                </c:pt>
                <c:pt idx="3">
                  <c:v>20</c:v>
                </c:pt>
                <c:pt idx="4">
                  <c:v>15</c:v>
                </c:pt>
                <c:pt idx="5">
                  <c:v>40</c:v>
                </c:pt>
                <c:pt idx="6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>
        <c:manualLayout>
          <c:xMode val="edge"/>
          <c:yMode val="edge"/>
          <c:x val="6.3451107073154309E-2"/>
          <c:y val="0.582995951417004"/>
          <c:w val="0.64490177364193124"/>
          <c:h val="0.3359048258825060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727412869241807"/>
          <c:y val="0.13381001842854748"/>
          <c:w val="0.33760056860332033"/>
          <c:h val="0.6306664432903335"/>
        </c:manualLayout>
      </c:layout>
      <c:pie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encuestas!$B$64:$B$68</c:f>
              <c:strCache>
                <c:ptCount val="5"/>
                <c:pt idx="0">
                  <c:v>GRANDE</c:v>
                </c:pt>
                <c:pt idx="1">
                  <c:v>MEDIANA</c:v>
                </c:pt>
                <c:pt idx="2">
                  <c:v>CHICA</c:v>
                </c:pt>
                <c:pt idx="3">
                  <c:v>MINI PIZZA</c:v>
                </c:pt>
                <c:pt idx="4">
                  <c:v>JUMBO</c:v>
                </c:pt>
              </c:strCache>
            </c:strRef>
          </c:cat>
          <c:val>
            <c:numRef>
              <c:f>encuestas!$C$64:$C$68</c:f>
              <c:numCache>
                <c:formatCode>General</c:formatCode>
                <c:ptCount val="5"/>
                <c:pt idx="0">
                  <c:v>35</c:v>
                </c:pt>
                <c:pt idx="1">
                  <c:v>60</c:v>
                </c:pt>
                <c:pt idx="2">
                  <c:v>40</c:v>
                </c:pt>
                <c:pt idx="3">
                  <c:v>35</c:v>
                </c:pt>
                <c:pt idx="4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>
        <c:manualLayout>
          <c:xMode val="edge"/>
          <c:yMode val="edge"/>
          <c:x val="1.4047677924100485E-3"/>
          <c:y val="0.84539007092198581"/>
          <c:w val="0.89999985650992953"/>
          <c:h val="0.1025417992963645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731102362204737"/>
          <c:y val="0.10679826480023333"/>
          <c:w val="0.35537817147856526"/>
          <c:h val="0.59229695246427538"/>
        </c:manualLayout>
      </c:layout>
      <c:pieChart>
        <c:varyColors val="1"/>
        <c:ser>
          <c:idx val="0"/>
          <c:order val="0"/>
          <c:explosion val="47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encuestas!$B$80:$B$83</c:f>
              <c:strCache>
                <c:ptCount val="4"/>
                <c:pt idx="0">
                  <c:v>GRUESO</c:v>
                </c:pt>
                <c:pt idx="1">
                  <c:v>DELGADO</c:v>
                </c:pt>
                <c:pt idx="2">
                  <c:v>BLANDO</c:v>
                </c:pt>
                <c:pt idx="3">
                  <c:v>CRUJIENTE</c:v>
                </c:pt>
              </c:strCache>
            </c:strRef>
          </c:cat>
          <c:val>
            <c:numRef>
              <c:f>encuestas!$C$80:$C$83</c:f>
              <c:numCache>
                <c:formatCode>General</c:formatCode>
                <c:ptCount val="4"/>
                <c:pt idx="0">
                  <c:v>38</c:v>
                </c:pt>
                <c:pt idx="1">
                  <c:v>35</c:v>
                </c:pt>
                <c:pt idx="2">
                  <c:v>65</c:v>
                </c:pt>
                <c:pt idx="3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>
        <c:manualLayout>
          <c:xMode val="edge"/>
          <c:yMode val="edge"/>
          <c:x val="5.7254811898512697E-2"/>
          <c:y val="0.80092592592592582"/>
          <c:w val="0.89999985696610829"/>
          <c:h val="0.11053817814057648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617388451443577"/>
          <c:y val="8.8848425196850433E-2"/>
          <c:w val="0.40765244969378828"/>
          <c:h val="0.67942074948964715"/>
        </c:manualLayout>
      </c:layout>
      <c:pie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encuestas!$B$94:$B$96</c:f>
              <c:strCache>
                <c:ptCount val="3"/>
                <c:pt idx="0">
                  <c:v>ENTRE 5 A 8 SOLES</c:v>
                </c:pt>
                <c:pt idx="1">
                  <c:v>ENTRE 9 A 11 SOLES</c:v>
                </c:pt>
                <c:pt idx="2">
                  <c:v>ENTRE 12 A 13 SOLES</c:v>
                </c:pt>
              </c:strCache>
            </c:strRef>
          </c:cat>
          <c:val>
            <c:numRef>
              <c:f>encuestas!$C$94:$C$96</c:f>
              <c:numCache>
                <c:formatCode>General</c:formatCode>
                <c:ptCount val="3"/>
                <c:pt idx="0">
                  <c:v>55</c:v>
                </c:pt>
                <c:pt idx="1">
                  <c:v>62</c:v>
                </c:pt>
                <c:pt idx="2">
                  <c:v>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>
        <c:manualLayout>
          <c:xMode val="edge"/>
          <c:yMode val="edge"/>
          <c:x val="0"/>
          <c:y val="0.90277777777777779"/>
          <c:w val="0.9"/>
          <c:h val="7.9339822105570154E-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642870927898729"/>
          <c:y val="2.7607741317669413E-2"/>
          <c:w val="0.40714277443260777"/>
          <c:h val="0.69759254384978708"/>
        </c:manualLayout>
      </c:layout>
      <c:pie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encuestas!$I$6:$I$8</c:f>
              <c:strCache>
                <c:ptCount val="3"/>
                <c:pt idx="0">
                  <c:v>ENTRE 16 A 18 SOLES</c:v>
                </c:pt>
                <c:pt idx="1">
                  <c:v>ENTRE 19 A 25 SOLES</c:v>
                </c:pt>
                <c:pt idx="2">
                  <c:v>ENTRE 26 A 30 SOLES</c:v>
                </c:pt>
              </c:strCache>
            </c:strRef>
          </c:cat>
          <c:val>
            <c:numRef>
              <c:f>encuestas!$J$6:$J$8</c:f>
              <c:numCache>
                <c:formatCode>General</c:formatCode>
                <c:ptCount val="3"/>
                <c:pt idx="0">
                  <c:v>65</c:v>
                </c:pt>
                <c:pt idx="1">
                  <c:v>70</c:v>
                </c:pt>
                <c:pt idx="2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>
        <c:manualLayout>
          <c:xMode val="edge"/>
          <c:yMode val="edge"/>
          <c:x val="2.7941176470588237E-2"/>
          <c:y val="0.90708646420129957"/>
          <c:w val="0.9"/>
          <c:h val="7.1968078704101726E-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506277340332464"/>
          <c:y val="3.3292869641294839E-2"/>
          <c:w val="0.40765244969378828"/>
          <c:h val="0.67942074948964715"/>
        </c:manualLayout>
      </c:layout>
      <c:pie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encuestas!$I$25:$I$27</c:f>
              <c:strCache>
                <c:ptCount val="3"/>
                <c:pt idx="0">
                  <c:v>ENTRE 40 A 45 SOLES</c:v>
                </c:pt>
                <c:pt idx="1">
                  <c:v>ENTRE 46 A 50 SOLES</c:v>
                </c:pt>
                <c:pt idx="2">
                  <c:v>ENTRE 50 A MAS</c:v>
                </c:pt>
              </c:strCache>
            </c:strRef>
          </c:cat>
          <c:val>
            <c:numRef>
              <c:f>encuestas!$J$25:$J$27</c:f>
              <c:numCache>
                <c:formatCode>General</c:formatCode>
                <c:ptCount val="3"/>
                <c:pt idx="0">
                  <c:v>70</c:v>
                </c:pt>
                <c:pt idx="1">
                  <c:v>77</c:v>
                </c:pt>
                <c:pt idx="2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>
        <c:manualLayout>
          <c:xMode val="edge"/>
          <c:yMode val="edge"/>
          <c:x val="4.1666666666666664E-2"/>
          <c:y val="0.89814814814814814"/>
          <c:w val="0.9"/>
          <c:h val="7.9339822105570154E-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728499562554685"/>
          <c:y val="3.3292869641294839E-2"/>
          <c:w val="0.40765244969378828"/>
          <c:h val="0.67942074948964715"/>
        </c:manualLayout>
      </c:layout>
      <c:pie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encuestas!$I$42:$I$44</c:f>
              <c:strCache>
                <c:ptCount val="3"/>
                <c:pt idx="0">
                  <c:v>ENTRE 50 A 55 SOLES</c:v>
                </c:pt>
                <c:pt idx="1">
                  <c:v>ENTRE 56 A 60 SOLES</c:v>
                </c:pt>
                <c:pt idx="2">
                  <c:v>ENTRE 61 A MAS</c:v>
                </c:pt>
              </c:strCache>
            </c:strRef>
          </c:cat>
          <c:val>
            <c:numRef>
              <c:f>encuestas!$J$42:$J$44</c:f>
              <c:numCache>
                <c:formatCode>General</c:formatCode>
                <c:ptCount val="3"/>
                <c:pt idx="0">
                  <c:v>85</c:v>
                </c:pt>
                <c:pt idx="1">
                  <c:v>60</c:v>
                </c:pt>
                <c:pt idx="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>
        <c:manualLayout>
          <c:xMode val="edge"/>
          <c:yMode val="edge"/>
          <c:x val="4.444444444444446E-2"/>
          <c:y val="0.88888888888888884"/>
          <c:w val="0.9"/>
          <c:h val="7.9339822105570154E-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5166229221354"/>
          <c:y val="6.1070647419072616E-2"/>
          <c:w val="0.40765244969378828"/>
          <c:h val="0.67942074948964715"/>
        </c:manualLayout>
      </c:layout>
      <c:pie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encuestas!$I$60:$I$62</c:f>
              <c:strCache>
                <c:ptCount val="3"/>
                <c:pt idx="0">
                  <c:v>12 PM A 1PM</c:v>
                </c:pt>
                <c:pt idx="1">
                  <c:v>2 PM A 4 PM</c:v>
                </c:pt>
                <c:pt idx="2">
                  <c:v>6 PM A 8 PM</c:v>
                </c:pt>
              </c:strCache>
            </c:strRef>
          </c:cat>
          <c:val>
            <c:numRef>
              <c:f>encuestas!$J$60:$J$62</c:f>
              <c:numCache>
                <c:formatCode>General</c:formatCode>
                <c:ptCount val="3"/>
                <c:pt idx="0">
                  <c:v>45</c:v>
                </c:pt>
                <c:pt idx="1">
                  <c:v>60</c:v>
                </c:pt>
                <c:pt idx="2">
                  <c:v>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>
        <c:manualLayout>
          <c:xMode val="edge"/>
          <c:yMode val="edge"/>
          <c:x val="0.15870778652668421"/>
          <c:y val="0.88888888888888884"/>
          <c:w val="0.64925109361329869"/>
          <c:h val="7.9339822105570154E-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'PRINCIPALES RATIOS'!$B$28</c:f>
              <c:strCache>
                <c:ptCount val="1"/>
                <c:pt idx="0">
                  <c:v>Prueba Acida ( (AC-EXIS)/PC)</c:v>
                </c:pt>
              </c:strCache>
            </c:strRef>
          </c:tx>
          <c:yVal>
            <c:numRef>
              <c:f>'PRINCIPALES RATIOS'!$C$28:$J$28</c:f>
              <c:numCache>
                <c:formatCode>0.00</c:formatCode>
                <c:ptCount val="8"/>
                <c:pt idx="0">
                  <c:v>2.8462602203658847</c:v>
                </c:pt>
                <c:pt idx="1">
                  <c:v>5.3592311777678701</c:v>
                </c:pt>
                <c:pt idx="2">
                  <c:v>8.1392776848726616</c:v>
                </c:pt>
                <c:pt idx="3">
                  <c:v>24.096696947119465</c:v>
                </c:pt>
                <c:pt idx="4">
                  <c:v>35.682407709923432</c:v>
                </c:pt>
                <c:pt idx="5">
                  <c:v>42.223651232299034</c:v>
                </c:pt>
                <c:pt idx="6">
                  <c:v>40.947493427839355</c:v>
                </c:pt>
                <c:pt idx="7">
                  <c:v>45.41652334969946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341632"/>
        <c:axId val="78343168"/>
      </c:scatterChart>
      <c:valAx>
        <c:axId val="78341632"/>
        <c:scaling>
          <c:orientation val="minMax"/>
        </c:scaling>
        <c:delete val="0"/>
        <c:axPos val="b"/>
        <c:majorTickMark val="out"/>
        <c:minorTickMark val="none"/>
        <c:tickLblPos val="nextTo"/>
        <c:crossAx val="78343168"/>
        <c:crosses val="autoZero"/>
        <c:crossBetween val="midCat"/>
      </c:valAx>
      <c:valAx>
        <c:axId val="78343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78341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itchFamily="18" charset="0"/>
        </a:defRPr>
      </a:pPr>
      <a:endParaRPr lang="es-PE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84055118110239"/>
          <c:y val="6.1070647419072616E-2"/>
          <c:w val="0.40765244969378828"/>
          <c:h val="0.67942074948964715"/>
        </c:manualLayout>
      </c:layout>
      <c:pie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encuestas!$I$78:$I$79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encuestas!$J$78:$J$79</c:f>
              <c:numCache>
                <c:formatCode>General</c:formatCode>
                <c:ptCount val="2"/>
                <c:pt idx="0">
                  <c:v>145</c:v>
                </c:pt>
                <c:pt idx="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>
        <c:manualLayout>
          <c:xMode val="edge"/>
          <c:yMode val="edge"/>
          <c:x val="0.28204724409448817"/>
          <c:y val="0.87962962962962976"/>
          <c:w val="0.17956202039630545"/>
          <c:h val="0.1203703913321048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51093613298341"/>
          <c:y val="2.7089530475357258E-2"/>
          <c:w val="0.36964479440069992"/>
          <c:h val="0.61607465733450006"/>
        </c:manualLayout>
      </c:layout>
      <c:pie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encuestas!$I$92:$I$95</c:f>
              <c:strCache>
                <c:ptCount val="4"/>
                <c:pt idx="0">
                  <c:v>PIZZALEGRO</c:v>
                </c:pt>
                <c:pt idx="1">
                  <c:v>DON GIOVANI PIZZA</c:v>
                </c:pt>
                <c:pt idx="2">
                  <c:v>PIZZA Y CORRE</c:v>
                </c:pt>
                <c:pt idx="3">
                  <c:v>ARMA TU PIZZA</c:v>
                </c:pt>
              </c:strCache>
            </c:strRef>
          </c:cat>
          <c:val>
            <c:numRef>
              <c:f>encuestas!$J$92:$J$95</c:f>
              <c:numCache>
                <c:formatCode>General</c:formatCode>
                <c:ptCount val="4"/>
                <c:pt idx="0">
                  <c:v>68</c:v>
                </c:pt>
                <c:pt idx="1">
                  <c:v>30</c:v>
                </c:pt>
                <c:pt idx="2">
                  <c:v>40</c:v>
                </c:pt>
                <c:pt idx="3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>
        <c:manualLayout>
          <c:xMode val="edge"/>
          <c:yMode val="edge"/>
          <c:x val="0.19922178477690294"/>
          <c:y val="0.82870370370370372"/>
          <c:w val="0.61822309711286094"/>
          <c:h val="0.1517351997666958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433770778652672"/>
          <c:y val="5.0544619422572191E-2"/>
          <c:w val="0.32799146981627303"/>
          <c:h val="0.54665244969378834"/>
        </c:manualLayout>
      </c:layout>
      <c:pie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encuestas!$I$110:$I$115</c:f>
              <c:strCache>
                <c:ptCount val="6"/>
                <c:pt idx="0">
                  <c:v>1 VEZ POR SEMANA</c:v>
                </c:pt>
                <c:pt idx="1">
                  <c:v>2 VECES POR SEMANA</c:v>
                </c:pt>
                <c:pt idx="2">
                  <c:v>3 O MAS VECES POR SEMANA</c:v>
                </c:pt>
                <c:pt idx="3">
                  <c:v>SOLO SABADOS</c:v>
                </c:pt>
                <c:pt idx="4">
                  <c:v>SOLO DOMINGOS</c:v>
                </c:pt>
                <c:pt idx="5">
                  <c:v>OTROS</c:v>
                </c:pt>
              </c:strCache>
            </c:strRef>
          </c:cat>
          <c:val>
            <c:numRef>
              <c:f>encuestas!$J$110:$J$115</c:f>
              <c:numCache>
                <c:formatCode>General</c:formatCode>
                <c:ptCount val="6"/>
                <c:pt idx="0">
                  <c:v>46</c:v>
                </c:pt>
                <c:pt idx="1">
                  <c:v>40</c:v>
                </c:pt>
                <c:pt idx="2">
                  <c:v>28</c:v>
                </c:pt>
                <c:pt idx="3">
                  <c:v>32</c:v>
                </c:pt>
                <c:pt idx="4">
                  <c:v>24</c:v>
                </c:pt>
                <c:pt idx="5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>
        <c:manualLayout>
          <c:xMode val="edge"/>
          <c:yMode val="edge"/>
          <c:x val="8.1388013998250214E-2"/>
          <c:y val="0.6712962962962965"/>
          <c:w val="0.84310525839442496"/>
          <c:h val="0.2398183557128740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'PRINCIPALES RATIOS'!$B$33</c:f>
              <c:strCache>
                <c:ptCount val="1"/>
              </c:strCache>
            </c:strRef>
          </c:tx>
          <c:yVal>
            <c:numRef>
              <c:f>'PRINCIPALES RATIOS'!$C$33:$J$33</c:f>
              <c:numCache>
                <c:formatCode>0.00</c:formatCode>
                <c:ptCount val="8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58624"/>
        <c:axId val="85664512"/>
      </c:scatterChart>
      <c:valAx>
        <c:axId val="85658624"/>
        <c:scaling>
          <c:orientation val="minMax"/>
        </c:scaling>
        <c:delete val="0"/>
        <c:axPos val="b"/>
        <c:majorTickMark val="out"/>
        <c:minorTickMark val="none"/>
        <c:tickLblPos val="nextTo"/>
        <c:crossAx val="85664512"/>
        <c:crosses val="autoZero"/>
        <c:crossBetween val="midCat"/>
      </c:valAx>
      <c:valAx>
        <c:axId val="85664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856586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itchFamily="18" charset="0"/>
        </a:defRPr>
      </a:pPr>
      <a:endParaRPr lang="es-PE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'PRINCIPALES RATIOS'!$B$40</c:f>
              <c:strCache>
                <c:ptCount val="1"/>
                <c:pt idx="0">
                  <c:v>Estructura de capital(Pasivo total/Patrimonio)</c:v>
                </c:pt>
              </c:strCache>
            </c:strRef>
          </c:tx>
          <c:yVal>
            <c:numRef>
              <c:f>'PRINCIPALES RATIOS'!$C$40:$J$40</c:f>
              <c:numCache>
                <c:formatCode>0.00</c:formatCode>
                <c:ptCount val="8"/>
                <c:pt idx="0">
                  <c:v>0.25477339843966773</c:v>
                </c:pt>
                <c:pt idx="1">
                  <c:v>0.10422737490284033</c:v>
                </c:pt>
                <c:pt idx="2">
                  <c:v>4.8182050170656243E-2</c:v>
                </c:pt>
                <c:pt idx="3">
                  <c:v>1.523995570417188E-2</c:v>
                </c:pt>
                <c:pt idx="4">
                  <c:v>1.1816089605909175E-2</c:v>
                </c:pt>
                <c:pt idx="5">
                  <c:v>9.6347261457935592E-3</c:v>
                </c:pt>
                <c:pt idx="6">
                  <c:v>8.5137736774287594E-3</c:v>
                </c:pt>
                <c:pt idx="7">
                  <c:v>7.6304326232555283E-3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89088"/>
        <c:axId val="85690624"/>
      </c:scatterChart>
      <c:valAx>
        <c:axId val="8568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85690624"/>
        <c:crosses val="autoZero"/>
        <c:crossBetween val="midCat"/>
      </c:valAx>
      <c:valAx>
        <c:axId val="85690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856890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itchFamily="18" charset="0"/>
        </a:defRPr>
      </a:pPr>
      <a:endParaRPr lang="es-PE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'PRINCIPALES RATIOS'!$B$41</c:f>
              <c:strCache>
                <c:ptCount val="1"/>
                <c:pt idx="0">
                  <c:v>Endeudamiento total (PT /AT)</c:v>
                </c:pt>
              </c:strCache>
            </c:strRef>
          </c:tx>
          <c:yVal>
            <c:numRef>
              <c:f>'PRINCIPALES RATIOS'!$C$41:$J$41</c:f>
              <c:numCache>
                <c:formatCode>0.00</c:formatCode>
                <c:ptCount val="8"/>
                <c:pt idx="0">
                  <c:v>0.21869138146988071</c:v>
                </c:pt>
                <c:pt idx="1">
                  <c:v>0.12891607410359307</c:v>
                </c:pt>
                <c:pt idx="2">
                  <c:v>8.2878671160800305E-2</c:v>
                </c:pt>
                <c:pt idx="3">
                  <c:v>2.9385378136858688E-2</c:v>
                </c:pt>
                <c:pt idx="4">
                  <c:v>2.1922016753122452E-2</c:v>
                </c:pt>
                <c:pt idx="5">
                  <c:v>1.9172703757610335E-2</c:v>
                </c:pt>
                <c:pt idx="6">
                  <c:v>1.9653575564584122E-2</c:v>
                </c:pt>
                <c:pt idx="7">
                  <c:v>1.8066730916065501E-2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03296"/>
        <c:axId val="86712704"/>
      </c:scatterChart>
      <c:valAx>
        <c:axId val="85703296"/>
        <c:scaling>
          <c:orientation val="minMax"/>
        </c:scaling>
        <c:delete val="0"/>
        <c:axPos val="b"/>
        <c:majorTickMark val="out"/>
        <c:minorTickMark val="none"/>
        <c:tickLblPos val="nextTo"/>
        <c:crossAx val="86712704"/>
        <c:crosses val="autoZero"/>
        <c:crossBetween val="midCat"/>
      </c:valAx>
      <c:valAx>
        <c:axId val="86712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857032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itchFamily="18" charset="0"/>
        </a:defRPr>
      </a:pPr>
      <a:endParaRPr lang="es-PE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'PRINCIPALES RATIOS'!$B$44</c:f>
              <c:strCache>
                <c:ptCount val="1"/>
                <c:pt idx="0">
                  <c:v>Rentabilidad sobre la inversion (UN/AT)</c:v>
                </c:pt>
              </c:strCache>
            </c:strRef>
          </c:tx>
          <c:yVal>
            <c:numRef>
              <c:f>'PRINCIPALES RATIOS'!$C$44:$J$44</c:f>
              <c:numCache>
                <c:formatCode>0.00</c:formatCode>
                <c:ptCount val="8"/>
                <c:pt idx="0">
                  <c:v>0.63768887254253059</c:v>
                </c:pt>
                <c:pt idx="1">
                  <c:v>0.53409625298552177</c:v>
                </c:pt>
                <c:pt idx="2">
                  <c:v>0.41794441540918442</c:v>
                </c:pt>
                <c:pt idx="3">
                  <c:v>0.38523152124138182</c:v>
                </c:pt>
                <c:pt idx="4">
                  <c:v>0.41681159966689313</c:v>
                </c:pt>
                <c:pt idx="5">
                  <c:v>0.3673653958075293</c:v>
                </c:pt>
                <c:pt idx="6">
                  <c:v>0.26857605754218455</c:v>
                </c:pt>
                <c:pt idx="7">
                  <c:v>0.24566129023729269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37280"/>
        <c:axId val="86738816"/>
      </c:scatterChart>
      <c:valAx>
        <c:axId val="86737280"/>
        <c:scaling>
          <c:orientation val="minMax"/>
        </c:scaling>
        <c:delete val="0"/>
        <c:axPos val="b"/>
        <c:majorTickMark val="out"/>
        <c:minorTickMark val="none"/>
        <c:tickLblPos val="nextTo"/>
        <c:crossAx val="86738816"/>
        <c:crosses val="autoZero"/>
        <c:crossBetween val="midCat"/>
      </c:valAx>
      <c:valAx>
        <c:axId val="86738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867372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itchFamily="18" charset="0"/>
        </a:defRPr>
      </a:pPr>
      <a:endParaRPr lang="es-PE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'PRINCIPALES RATIOS'!$B$45</c:f>
              <c:strCache>
                <c:ptCount val="1"/>
                <c:pt idx="0">
                  <c:v>Rentabilidad sobre el patrimonio (UN/PATRI)</c:v>
                </c:pt>
              </c:strCache>
            </c:strRef>
          </c:tx>
          <c:yVal>
            <c:numRef>
              <c:f>'PRINCIPALES RATIOS'!$C$45:$J$45</c:f>
              <c:numCache>
                <c:formatCode>0.00</c:formatCode>
                <c:ptCount val="8"/>
                <c:pt idx="0">
                  <c:v>0.74290152685873589</c:v>
                </c:pt>
                <c:pt idx="1">
                  <c:v>0.43181155477470989</c:v>
                </c:pt>
                <c:pt idx="2">
                  <c:v>0.24297468226439725</c:v>
                </c:pt>
                <c:pt idx="3">
                  <c:v>0.19979022533677734</c:v>
                </c:pt>
                <c:pt idx="4">
                  <c:v>0.22466378280387225</c:v>
                </c:pt>
                <c:pt idx="5">
                  <c:v>0.1846095902171159</c:v>
                </c:pt>
                <c:pt idx="6">
                  <c:v>0.11634502645975035</c:v>
                </c:pt>
                <c:pt idx="7">
                  <c:v>0.10375435002636905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55200"/>
        <c:axId val="86756736"/>
      </c:scatterChart>
      <c:valAx>
        <c:axId val="8675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86756736"/>
        <c:crosses val="autoZero"/>
        <c:crossBetween val="midCat"/>
      </c:valAx>
      <c:valAx>
        <c:axId val="86756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867552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itchFamily="18" charset="0"/>
        </a:defRPr>
      </a:pPr>
      <a:endParaRPr lang="es-PE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'PRINCIPALES RATIOS'!$B$46</c:f>
              <c:strCache>
                <c:ptCount val="1"/>
                <c:pt idx="0">
                  <c:v>Rentabilidad sobre ventas (UN/ VENTAS)</c:v>
                </c:pt>
              </c:strCache>
            </c:strRef>
          </c:tx>
          <c:yVal>
            <c:numRef>
              <c:f>'PRINCIPALES RATIOS'!$C$46:$J$46</c:f>
              <c:numCache>
                <c:formatCode>0.00</c:formatCode>
                <c:ptCount val="8"/>
                <c:pt idx="0">
                  <c:v>0.33557082505195701</c:v>
                </c:pt>
                <c:pt idx="1">
                  <c:v>0.34328498370951188</c:v>
                </c:pt>
                <c:pt idx="2">
                  <c:v>0.25515916124406685</c:v>
                </c:pt>
                <c:pt idx="3">
                  <c:v>0.26219265884360221</c:v>
                </c:pt>
                <c:pt idx="4">
                  <c:v>0.38026756786190741</c:v>
                </c:pt>
                <c:pt idx="5">
                  <c:v>0.38321709911332541</c:v>
                </c:pt>
                <c:pt idx="6">
                  <c:v>0.27331012279125483</c:v>
                </c:pt>
                <c:pt idx="7">
                  <c:v>0.27194880067521576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85024"/>
        <c:axId val="86799104"/>
      </c:scatterChart>
      <c:valAx>
        <c:axId val="8678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86799104"/>
        <c:crosses val="autoZero"/>
        <c:crossBetween val="midCat"/>
      </c:valAx>
      <c:valAx>
        <c:axId val="86799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867850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itchFamily="18" charset="0"/>
        </a:defRPr>
      </a:pPr>
      <a:endParaRPr lang="es-PE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EDAD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encuestas!$B$5:$B$7</c:f>
              <c:strCache>
                <c:ptCount val="3"/>
                <c:pt idx="0">
                  <c:v>ENTRE 20-35</c:v>
                </c:pt>
                <c:pt idx="1">
                  <c:v>ENTRE 36-45</c:v>
                </c:pt>
                <c:pt idx="2">
                  <c:v>ENTRE 46 A MAS</c:v>
                </c:pt>
              </c:strCache>
            </c:strRef>
          </c:cat>
          <c:val>
            <c:numRef>
              <c:f>encuestas!$C$5:$C$7</c:f>
              <c:numCache>
                <c:formatCode>General</c:formatCode>
                <c:ptCount val="3"/>
                <c:pt idx="0">
                  <c:v>90</c:v>
                </c:pt>
                <c:pt idx="1">
                  <c:v>70</c:v>
                </c:pt>
                <c:pt idx="2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PLANILLA DE EMPLEADOS'!A1"/><Relationship Id="rId13" Type="http://schemas.openxmlformats.org/officeDocument/2006/relationships/hyperlink" Target="#'BALANCE GENERAL'!A1"/><Relationship Id="rId18" Type="http://schemas.openxmlformats.org/officeDocument/2006/relationships/hyperlink" Target="#'CUADROS DE RATIOS'!A1"/><Relationship Id="rId3" Type="http://schemas.openxmlformats.org/officeDocument/2006/relationships/hyperlink" Target="#ORGANIGRAMA!A1"/><Relationship Id="rId7" Type="http://schemas.openxmlformats.org/officeDocument/2006/relationships/hyperlink" Target="#'INGRESO POR VENTAS'!A1"/><Relationship Id="rId12" Type="http://schemas.openxmlformats.org/officeDocument/2006/relationships/hyperlink" Target="#'ESTADO DE GANACIAS Y PERDIDAS'!A1"/><Relationship Id="rId17" Type="http://schemas.openxmlformats.org/officeDocument/2006/relationships/hyperlink" Target="#'PRINCIPALES RATIOS'!A1"/><Relationship Id="rId2" Type="http://schemas.openxmlformats.org/officeDocument/2006/relationships/hyperlink" Target="#CROQUIS!A1"/><Relationship Id="rId16" Type="http://schemas.openxmlformats.org/officeDocument/2006/relationships/hyperlink" Target="#'PUNTO DE EQUILIBRIO'!A1"/><Relationship Id="rId1" Type="http://schemas.openxmlformats.org/officeDocument/2006/relationships/hyperlink" Target="#LOCALIZACION!A1"/><Relationship Id="rId6" Type="http://schemas.openxmlformats.org/officeDocument/2006/relationships/hyperlink" Target="#'AMORTIZACION DE CREDITO'!A1"/><Relationship Id="rId11" Type="http://schemas.openxmlformats.org/officeDocument/2006/relationships/hyperlink" Target="#'PRESUPUESTO DE GASTOS'!A1"/><Relationship Id="rId5" Type="http://schemas.openxmlformats.org/officeDocument/2006/relationships/hyperlink" Target="#FINANCIAMIENTO!A1"/><Relationship Id="rId15" Type="http://schemas.openxmlformats.org/officeDocument/2006/relationships/hyperlink" Target="#'EVALUACION COSTO BENEFICIO'!A1"/><Relationship Id="rId10" Type="http://schemas.openxmlformats.org/officeDocument/2006/relationships/hyperlink" Target="#'DEPRECIACION DE EQUIPOS'!A1"/><Relationship Id="rId19" Type="http://schemas.openxmlformats.org/officeDocument/2006/relationships/image" Target="../media/image2.jpeg"/><Relationship Id="rId4" Type="http://schemas.openxmlformats.org/officeDocument/2006/relationships/hyperlink" Target="#'INVERSION TOTAL'!A1"/><Relationship Id="rId9" Type="http://schemas.openxmlformats.org/officeDocument/2006/relationships/hyperlink" Target="#'GASTOS INDIRECTOS'!A1"/><Relationship Id="rId14" Type="http://schemas.openxmlformats.org/officeDocument/2006/relationships/hyperlink" Target="#'FLUJO DE CAJA ECON FINANCI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INDICE GENER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Anexo 12'!A1"/><Relationship Id="rId2" Type="http://schemas.openxmlformats.org/officeDocument/2006/relationships/hyperlink" Target="#&#205;ndice!A1"/><Relationship Id="rId1" Type="http://schemas.openxmlformats.org/officeDocument/2006/relationships/hyperlink" Target="#'INDICE GENERAL'!A1"/><Relationship Id="rId4" Type="http://schemas.openxmlformats.org/officeDocument/2006/relationships/hyperlink" Target="#'Anexo 14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INDICE GENERAL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INDICE GENERAL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INDICE GENER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hyperlink" Target="#'INDICE GENERAL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INDICE GENERAL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'INDICE GENERAL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INDICE GENERAL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hyperlink" Target="#'INDICE GENERAL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INDICE GENERAL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hyperlink" Target="#'INDICE GENER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INDICE GENERAL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INDICE GENERAL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INDICE GENER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INDICE GENERAL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INDICE GENERAL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619125</xdr:colOff>
      <xdr:row>3</xdr:row>
      <xdr:rowOff>171450</xdr:rowOff>
    </xdr:from>
    <xdr:to>
      <xdr:col>4</xdr:col>
      <xdr:colOff>37125</xdr:colOff>
      <xdr:row>3</xdr:row>
      <xdr:rowOff>351450</xdr:rowOff>
    </xdr:to>
    <xdr:sp macro="" textlink="">
      <xdr:nvSpPr>
        <xdr:cNvPr id="3" name="2 Elipse">
          <a:hlinkClick xmlns:r="http://schemas.openxmlformats.org/officeDocument/2006/relationships" r:id="rId1"/>
        </xdr:cNvPr>
        <xdr:cNvSpPr/>
      </xdr:nvSpPr>
      <xdr:spPr>
        <a:xfrm>
          <a:off x="2619375" y="962025"/>
          <a:ext cx="180000" cy="180000"/>
        </a:xfrm>
        <a:prstGeom prst="ellips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3</xdr:col>
      <xdr:colOff>619124</xdr:colOff>
      <xdr:row>4</xdr:row>
      <xdr:rowOff>171451</xdr:rowOff>
    </xdr:from>
    <xdr:to>
      <xdr:col>4</xdr:col>
      <xdr:colOff>37124</xdr:colOff>
      <xdr:row>4</xdr:row>
      <xdr:rowOff>351451</xdr:rowOff>
    </xdr:to>
    <xdr:sp macro="" textlink="">
      <xdr:nvSpPr>
        <xdr:cNvPr id="4" name="3 Elipse">
          <a:hlinkClick xmlns:r="http://schemas.openxmlformats.org/officeDocument/2006/relationships" r:id="rId2"/>
        </xdr:cNvPr>
        <xdr:cNvSpPr/>
      </xdr:nvSpPr>
      <xdr:spPr>
        <a:xfrm>
          <a:off x="2619374" y="1323976"/>
          <a:ext cx="180000" cy="180000"/>
        </a:xfrm>
        <a:prstGeom prst="ellipse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3</xdr:col>
      <xdr:colOff>619125</xdr:colOff>
      <xdr:row>5</xdr:row>
      <xdr:rowOff>161925</xdr:rowOff>
    </xdr:from>
    <xdr:to>
      <xdr:col>4</xdr:col>
      <xdr:colOff>37125</xdr:colOff>
      <xdr:row>5</xdr:row>
      <xdr:rowOff>341925</xdr:rowOff>
    </xdr:to>
    <xdr:sp macro="" textlink="">
      <xdr:nvSpPr>
        <xdr:cNvPr id="5" name="4 Elipse">
          <a:hlinkClick xmlns:r="http://schemas.openxmlformats.org/officeDocument/2006/relationships" r:id="rId3"/>
        </xdr:cNvPr>
        <xdr:cNvSpPr/>
      </xdr:nvSpPr>
      <xdr:spPr>
        <a:xfrm>
          <a:off x="2619375" y="1676400"/>
          <a:ext cx="180000" cy="180000"/>
        </a:xfrm>
        <a:prstGeom prst="ellips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3</xdr:col>
      <xdr:colOff>609601</xdr:colOff>
      <xdr:row>6</xdr:row>
      <xdr:rowOff>142875</xdr:rowOff>
    </xdr:from>
    <xdr:to>
      <xdr:col>4</xdr:col>
      <xdr:colOff>27601</xdr:colOff>
      <xdr:row>6</xdr:row>
      <xdr:rowOff>322875</xdr:rowOff>
    </xdr:to>
    <xdr:sp macro="" textlink="">
      <xdr:nvSpPr>
        <xdr:cNvPr id="6" name="5 Elipse">
          <a:hlinkClick xmlns:r="http://schemas.openxmlformats.org/officeDocument/2006/relationships" r:id="rId4"/>
        </xdr:cNvPr>
        <xdr:cNvSpPr/>
      </xdr:nvSpPr>
      <xdr:spPr>
        <a:xfrm>
          <a:off x="2609851" y="2019300"/>
          <a:ext cx="180000" cy="180000"/>
        </a:xfrm>
        <a:prstGeom prst="ellipse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3</xdr:col>
      <xdr:colOff>619126</xdr:colOff>
      <xdr:row>7</xdr:row>
      <xdr:rowOff>123825</xdr:rowOff>
    </xdr:from>
    <xdr:to>
      <xdr:col>4</xdr:col>
      <xdr:colOff>37126</xdr:colOff>
      <xdr:row>7</xdr:row>
      <xdr:rowOff>303825</xdr:rowOff>
    </xdr:to>
    <xdr:sp macro="" textlink="">
      <xdr:nvSpPr>
        <xdr:cNvPr id="7" name="6 Elipse">
          <a:hlinkClick xmlns:r="http://schemas.openxmlformats.org/officeDocument/2006/relationships" r:id="rId5"/>
        </xdr:cNvPr>
        <xdr:cNvSpPr/>
      </xdr:nvSpPr>
      <xdr:spPr>
        <a:xfrm>
          <a:off x="2619376" y="2362200"/>
          <a:ext cx="180000" cy="180000"/>
        </a:xfrm>
        <a:prstGeom prst="ellips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3</xdr:col>
      <xdr:colOff>609601</xdr:colOff>
      <xdr:row>8</xdr:row>
      <xdr:rowOff>142875</xdr:rowOff>
    </xdr:from>
    <xdr:to>
      <xdr:col>4</xdr:col>
      <xdr:colOff>27601</xdr:colOff>
      <xdr:row>8</xdr:row>
      <xdr:rowOff>322875</xdr:rowOff>
    </xdr:to>
    <xdr:sp macro="" textlink="">
      <xdr:nvSpPr>
        <xdr:cNvPr id="8" name="7 Elipse">
          <a:hlinkClick xmlns:r="http://schemas.openxmlformats.org/officeDocument/2006/relationships" r:id="rId6"/>
        </xdr:cNvPr>
        <xdr:cNvSpPr/>
      </xdr:nvSpPr>
      <xdr:spPr>
        <a:xfrm>
          <a:off x="2609851" y="2743200"/>
          <a:ext cx="180000" cy="180000"/>
        </a:xfrm>
        <a:prstGeom prst="ellipse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3</xdr:col>
      <xdr:colOff>619126</xdr:colOff>
      <xdr:row>9</xdr:row>
      <xdr:rowOff>152401</xdr:rowOff>
    </xdr:from>
    <xdr:to>
      <xdr:col>4</xdr:col>
      <xdr:colOff>37126</xdr:colOff>
      <xdr:row>9</xdr:row>
      <xdr:rowOff>332401</xdr:rowOff>
    </xdr:to>
    <xdr:sp macro="" textlink="">
      <xdr:nvSpPr>
        <xdr:cNvPr id="9" name="8 Elipse">
          <a:hlinkClick xmlns:r="http://schemas.openxmlformats.org/officeDocument/2006/relationships" r:id="rId7"/>
        </xdr:cNvPr>
        <xdr:cNvSpPr/>
      </xdr:nvSpPr>
      <xdr:spPr>
        <a:xfrm>
          <a:off x="2619376" y="3114676"/>
          <a:ext cx="180000" cy="180000"/>
        </a:xfrm>
        <a:prstGeom prst="ellips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3</xdr:col>
      <xdr:colOff>638176</xdr:colOff>
      <xdr:row>10</xdr:row>
      <xdr:rowOff>161926</xdr:rowOff>
    </xdr:from>
    <xdr:to>
      <xdr:col>4</xdr:col>
      <xdr:colOff>56176</xdr:colOff>
      <xdr:row>10</xdr:row>
      <xdr:rowOff>341926</xdr:rowOff>
    </xdr:to>
    <xdr:sp macro="" textlink="">
      <xdr:nvSpPr>
        <xdr:cNvPr id="10" name="9 Elipse">
          <a:hlinkClick xmlns:r="http://schemas.openxmlformats.org/officeDocument/2006/relationships" r:id="rId8"/>
        </xdr:cNvPr>
        <xdr:cNvSpPr/>
      </xdr:nvSpPr>
      <xdr:spPr>
        <a:xfrm>
          <a:off x="2638426" y="3486151"/>
          <a:ext cx="180000" cy="180000"/>
        </a:xfrm>
        <a:prstGeom prst="ellipse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3</xdr:col>
      <xdr:colOff>647701</xdr:colOff>
      <xdr:row>11</xdr:row>
      <xdr:rowOff>123825</xdr:rowOff>
    </xdr:from>
    <xdr:to>
      <xdr:col>4</xdr:col>
      <xdr:colOff>65701</xdr:colOff>
      <xdr:row>11</xdr:row>
      <xdr:rowOff>303825</xdr:rowOff>
    </xdr:to>
    <xdr:sp macro="" textlink="">
      <xdr:nvSpPr>
        <xdr:cNvPr id="11" name="10 Elipse">
          <a:hlinkClick xmlns:r="http://schemas.openxmlformats.org/officeDocument/2006/relationships" r:id="rId9"/>
        </xdr:cNvPr>
        <xdr:cNvSpPr/>
      </xdr:nvSpPr>
      <xdr:spPr>
        <a:xfrm>
          <a:off x="2647951" y="3810000"/>
          <a:ext cx="180000" cy="180000"/>
        </a:xfrm>
        <a:prstGeom prst="ellips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9</xdr:col>
      <xdr:colOff>238126</xdr:colOff>
      <xdr:row>3</xdr:row>
      <xdr:rowOff>152401</xdr:rowOff>
    </xdr:from>
    <xdr:to>
      <xdr:col>9</xdr:col>
      <xdr:colOff>418126</xdr:colOff>
      <xdr:row>3</xdr:row>
      <xdr:rowOff>332401</xdr:rowOff>
    </xdr:to>
    <xdr:sp macro="" textlink="">
      <xdr:nvSpPr>
        <xdr:cNvPr id="12" name="11 Elipse">
          <a:hlinkClick xmlns:r="http://schemas.openxmlformats.org/officeDocument/2006/relationships" r:id="rId10"/>
        </xdr:cNvPr>
        <xdr:cNvSpPr/>
      </xdr:nvSpPr>
      <xdr:spPr>
        <a:xfrm>
          <a:off x="6524626" y="942976"/>
          <a:ext cx="180000" cy="180000"/>
        </a:xfrm>
        <a:prstGeom prst="ellipse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9</xdr:col>
      <xdr:colOff>228601</xdr:colOff>
      <xdr:row>4</xdr:row>
      <xdr:rowOff>152401</xdr:rowOff>
    </xdr:from>
    <xdr:to>
      <xdr:col>9</xdr:col>
      <xdr:colOff>408601</xdr:colOff>
      <xdr:row>4</xdr:row>
      <xdr:rowOff>332401</xdr:rowOff>
    </xdr:to>
    <xdr:sp macro="" textlink="">
      <xdr:nvSpPr>
        <xdr:cNvPr id="13" name="12 Elipse">
          <a:hlinkClick xmlns:r="http://schemas.openxmlformats.org/officeDocument/2006/relationships" r:id="rId11"/>
        </xdr:cNvPr>
        <xdr:cNvSpPr/>
      </xdr:nvSpPr>
      <xdr:spPr>
        <a:xfrm>
          <a:off x="6515101" y="1304926"/>
          <a:ext cx="180000" cy="180000"/>
        </a:xfrm>
        <a:prstGeom prst="ellips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9</xdr:col>
      <xdr:colOff>209550</xdr:colOff>
      <xdr:row>5</xdr:row>
      <xdr:rowOff>133351</xdr:rowOff>
    </xdr:from>
    <xdr:to>
      <xdr:col>9</xdr:col>
      <xdr:colOff>389550</xdr:colOff>
      <xdr:row>5</xdr:row>
      <xdr:rowOff>313351</xdr:rowOff>
    </xdr:to>
    <xdr:sp macro="" textlink="">
      <xdr:nvSpPr>
        <xdr:cNvPr id="14" name="13 Elipse">
          <a:hlinkClick xmlns:r="http://schemas.openxmlformats.org/officeDocument/2006/relationships" r:id="rId12"/>
        </xdr:cNvPr>
        <xdr:cNvSpPr/>
      </xdr:nvSpPr>
      <xdr:spPr>
        <a:xfrm>
          <a:off x="6496050" y="1647826"/>
          <a:ext cx="180000" cy="180000"/>
        </a:xfrm>
        <a:prstGeom prst="ellipse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9</xdr:col>
      <xdr:colOff>219076</xdr:colOff>
      <xdr:row>6</xdr:row>
      <xdr:rowOff>152401</xdr:rowOff>
    </xdr:from>
    <xdr:to>
      <xdr:col>9</xdr:col>
      <xdr:colOff>399076</xdr:colOff>
      <xdr:row>6</xdr:row>
      <xdr:rowOff>332401</xdr:rowOff>
    </xdr:to>
    <xdr:sp macro="" textlink="">
      <xdr:nvSpPr>
        <xdr:cNvPr id="15" name="14 Elipse">
          <a:hlinkClick xmlns:r="http://schemas.openxmlformats.org/officeDocument/2006/relationships" r:id="rId13"/>
        </xdr:cNvPr>
        <xdr:cNvSpPr/>
      </xdr:nvSpPr>
      <xdr:spPr>
        <a:xfrm>
          <a:off x="6505576" y="2028826"/>
          <a:ext cx="180000" cy="180000"/>
        </a:xfrm>
        <a:prstGeom prst="ellips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9</xdr:col>
      <xdr:colOff>228601</xdr:colOff>
      <xdr:row>7</xdr:row>
      <xdr:rowOff>142875</xdr:rowOff>
    </xdr:from>
    <xdr:to>
      <xdr:col>9</xdr:col>
      <xdr:colOff>408601</xdr:colOff>
      <xdr:row>7</xdr:row>
      <xdr:rowOff>322875</xdr:rowOff>
    </xdr:to>
    <xdr:sp macro="" textlink="">
      <xdr:nvSpPr>
        <xdr:cNvPr id="16" name="15 Elipse">
          <a:hlinkClick xmlns:r="http://schemas.openxmlformats.org/officeDocument/2006/relationships" r:id="rId14"/>
        </xdr:cNvPr>
        <xdr:cNvSpPr/>
      </xdr:nvSpPr>
      <xdr:spPr>
        <a:xfrm>
          <a:off x="6515101" y="2381250"/>
          <a:ext cx="180000" cy="180000"/>
        </a:xfrm>
        <a:prstGeom prst="ellipse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9</xdr:col>
      <xdr:colOff>219076</xdr:colOff>
      <xdr:row>8</xdr:row>
      <xdr:rowOff>142875</xdr:rowOff>
    </xdr:from>
    <xdr:to>
      <xdr:col>9</xdr:col>
      <xdr:colOff>399076</xdr:colOff>
      <xdr:row>8</xdr:row>
      <xdr:rowOff>322875</xdr:rowOff>
    </xdr:to>
    <xdr:sp macro="" textlink="">
      <xdr:nvSpPr>
        <xdr:cNvPr id="17" name="16 Elipse">
          <a:hlinkClick xmlns:r="http://schemas.openxmlformats.org/officeDocument/2006/relationships" r:id="rId15"/>
        </xdr:cNvPr>
        <xdr:cNvSpPr/>
      </xdr:nvSpPr>
      <xdr:spPr>
        <a:xfrm>
          <a:off x="6505576" y="2743200"/>
          <a:ext cx="180000" cy="180000"/>
        </a:xfrm>
        <a:prstGeom prst="ellips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9</xdr:col>
      <xdr:colOff>219076</xdr:colOff>
      <xdr:row>9</xdr:row>
      <xdr:rowOff>142875</xdr:rowOff>
    </xdr:from>
    <xdr:to>
      <xdr:col>9</xdr:col>
      <xdr:colOff>399076</xdr:colOff>
      <xdr:row>9</xdr:row>
      <xdr:rowOff>322875</xdr:rowOff>
    </xdr:to>
    <xdr:sp macro="" textlink="">
      <xdr:nvSpPr>
        <xdr:cNvPr id="18" name="17 Elipse">
          <a:hlinkClick xmlns:r="http://schemas.openxmlformats.org/officeDocument/2006/relationships" r:id="rId16"/>
        </xdr:cNvPr>
        <xdr:cNvSpPr/>
      </xdr:nvSpPr>
      <xdr:spPr>
        <a:xfrm>
          <a:off x="6505576" y="3105150"/>
          <a:ext cx="180000" cy="180000"/>
        </a:xfrm>
        <a:prstGeom prst="ellipse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9</xdr:col>
      <xdr:colOff>238126</xdr:colOff>
      <xdr:row>10</xdr:row>
      <xdr:rowOff>133350</xdr:rowOff>
    </xdr:from>
    <xdr:to>
      <xdr:col>9</xdr:col>
      <xdr:colOff>418126</xdr:colOff>
      <xdr:row>10</xdr:row>
      <xdr:rowOff>313350</xdr:rowOff>
    </xdr:to>
    <xdr:sp macro="" textlink="">
      <xdr:nvSpPr>
        <xdr:cNvPr id="19" name="18 Elipse">
          <a:hlinkClick xmlns:r="http://schemas.openxmlformats.org/officeDocument/2006/relationships" r:id="rId17"/>
        </xdr:cNvPr>
        <xdr:cNvSpPr/>
      </xdr:nvSpPr>
      <xdr:spPr>
        <a:xfrm>
          <a:off x="6524626" y="3457575"/>
          <a:ext cx="180000" cy="180000"/>
        </a:xfrm>
        <a:prstGeom prst="ellips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9</xdr:col>
      <xdr:colOff>219076</xdr:colOff>
      <xdr:row>11</xdr:row>
      <xdr:rowOff>142875</xdr:rowOff>
    </xdr:from>
    <xdr:to>
      <xdr:col>9</xdr:col>
      <xdr:colOff>399076</xdr:colOff>
      <xdr:row>11</xdr:row>
      <xdr:rowOff>322875</xdr:rowOff>
    </xdr:to>
    <xdr:sp macro="" textlink="">
      <xdr:nvSpPr>
        <xdr:cNvPr id="20" name="19 Elipse">
          <a:hlinkClick xmlns:r="http://schemas.openxmlformats.org/officeDocument/2006/relationships" r:id="rId18"/>
        </xdr:cNvPr>
        <xdr:cNvSpPr/>
      </xdr:nvSpPr>
      <xdr:spPr>
        <a:xfrm>
          <a:off x="6505576" y="3829050"/>
          <a:ext cx="180000" cy="180000"/>
        </a:xfrm>
        <a:prstGeom prst="ellipse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3</xdr:col>
      <xdr:colOff>419100</xdr:colOff>
      <xdr:row>0</xdr:row>
      <xdr:rowOff>161926</xdr:rowOff>
    </xdr:from>
    <xdr:to>
      <xdr:col>15</xdr:col>
      <xdr:colOff>561975</xdr:colOff>
      <xdr:row>2</xdr:row>
      <xdr:rowOff>238126</xdr:rowOff>
    </xdr:to>
    <xdr:sp macro="" textlink="">
      <xdr:nvSpPr>
        <xdr:cNvPr id="24" name="1 Título"/>
        <xdr:cNvSpPr>
          <a:spLocks noGrp="1"/>
        </xdr:cNvSpPr>
      </xdr:nvSpPr>
      <xdr:spPr>
        <a:xfrm>
          <a:off x="2419350" y="161926"/>
          <a:ext cx="9591675" cy="609600"/>
        </a:xfrm>
        <a:prstGeom prst="rect">
          <a:avLst/>
        </a:prstGeom>
      </xdr:spPr>
      <xdr:txBody>
        <a:bodyPr vert="horz" wrap="square" lIns="45720" tIns="0" rIns="45720" bIns="0" anchor="ctr" anchorCtr="0">
          <a:noAutofit/>
        </a:bodyPr>
        <a:lstStyle>
          <a:lvl1pPr algn="r" rtl="0" eaLnBrk="1" latinLnBrk="0" hangingPunct="1">
            <a:spcBef>
              <a:spcPct val="0"/>
            </a:spcBef>
            <a:buNone/>
            <a:defRPr kumimoji="0" sz="4200" b="1" kern="1200" cap="all" baseline="0">
              <a:ln w="500">
                <a:solidFill>
                  <a:schemeClr val="tx2">
                    <a:shade val="20000"/>
                    <a:satMod val="120000"/>
                  </a:schemeClr>
                </a:solidFill>
              </a:ln>
              <a:gradFill>
                <a:gsLst>
                  <a:gs pos="0">
                    <a:schemeClr val="accent4">
                      <a:tint val="13000"/>
                    </a:schemeClr>
                  </a:gs>
                  <a:gs pos="10000">
                    <a:schemeClr val="accent4">
                      <a:tint val="20000"/>
                    </a:schemeClr>
                  </a:gs>
                  <a:gs pos="49000">
                    <a:schemeClr val="accent4">
                      <a:tint val="70000"/>
                    </a:schemeClr>
                  </a:gs>
                  <a:gs pos="50000">
                    <a:schemeClr val="accent4">
                      <a:tint val="97000"/>
                    </a:schemeClr>
                  </a:gs>
                  <a:gs pos="100000">
                    <a:schemeClr val="accent4">
                      <a:tint val="20000"/>
                    </a:schemeClr>
                  </a:gs>
                </a:gsLst>
                <a:lin ang="5400000" scaled="1"/>
              </a:gra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j-lt"/>
              <a:ea typeface="+mj-ea"/>
              <a:cs typeface="+mj-cs"/>
            </a:defRPr>
          </a:lvl1pPr>
          <a:extLst/>
        </a:lstStyle>
        <a:p>
          <a:pPr algn="ctr"/>
          <a:r>
            <a:rPr lang="es-PE" sz="4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Book Antiqua" pitchFamily="18" charset="0"/>
            </a:rPr>
            <a:t>TABLA DE CONTENIDO</a:t>
          </a:r>
        </a:p>
      </xdr:txBody>
    </xdr:sp>
    <xdr:clientData/>
  </xdr:twoCellAnchor>
  <xdr:twoCellAnchor>
    <xdr:from>
      <xdr:col>0</xdr:col>
      <xdr:colOff>352425</xdr:colOff>
      <xdr:row>2</xdr:row>
      <xdr:rowOff>228600</xdr:rowOff>
    </xdr:from>
    <xdr:to>
      <xdr:col>3</xdr:col>
      <xdr:colOff>9525</xdr:colOff>
      <xdr:row>10</xdr:row>
      <xdr:rowOff>352425</xdr:rowOff>
    </xdr:to>
    <xdr:grpSp>
      <xdr:nvGrpSpPr>
        <xdr:cNvPr id="34" name="4 Grupo"/>
        <xdr:cNvGrpSpPr/>
      </xdr:nvGrpSpPr>
      <xdr:grpSpPr>
        <a:xfrm>
          <a:off x="352425" y="742950"/>
          <a:ext cx="2762250" cy="2914650"/>
          <a:chOff x="-396028" y="0"/>
          <a:chExt cx="4478102" cy="5790054"/>
        </a:xfrm>
      </xdr:grpSpPr>
      <xdr:pic>
        <xdr:nvPicPr>
          <xdr:cNvPr id="35" name="26 Imagen" descr="C:\Users\Intel\AppData\Local\Microsoft\Windows\Temporary Internet Files\Content.Word\14716706030231921612459.jpg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3728852" cy="3574472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36" name="1 Cuadro de texto"/>
          <xdr:cNvSpPr txBox="1"/>
        </xdr:nvSpPr>
        <xdr:spPr>
          <a:xfrm>
            <a:off x="-396028" y="3260351"/>
            <a:ext cx="4478102" cy="2529703"/>
          </a:xfrm>
          <a:prstGeom prst="rect">
            <a:avLst/>
          </a:prstGeom>
          <a:noFill/>
          <a:ln>
            <a:noFill/>
          </a:ln>
          <a:effectLst/>
        </xdr:spPr>
        <xdr:txBody>
          <a:bodyPr rot="0" spcFirstLastPara="1" vert="horz" wrap="square" lIns="91440" tIns="45720" rIns="91440" bIns="45720" numCol="1" spcCol="0" rtlCol="0" fromWordArt="0" anchor="t" anchorCtr="0" forceAA="0" compatLnSpc="1">
            <a:prstTxWarp prst="textTriangleInverted">
              <a:avLst/>
            </a:prstTxWarp>
            <a:no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PE" sz="800" b="1">
                <a:ln>
                  <a:noFill/>
                </a:ln>
                <a:gradFill>
                  <a:gsLst>
                    <a:gs pos="0">
                      <a:srgbClr val="FC7B79"/>
                    </a:gs>
                    <a:gs pos="75000">
                      <a:srgbClr val="CF2C28"/>
                    </a:gs>
                    <a:gs pos="100000">
                      <a:srgbClr val="C90000"/>
                    </a:gs>
                  </a:gsLst>
                  <a:lin ang="5400000" scaled="0"/>
                </a:gradFill>
                <a:effectLst>
                  <a:outerShdw blurRad="50800" dist="39002" dir="5460000" algn="tl">
                    <a:srgbClr val="000000">
                      <a:alpha val="38000"/>
                    </a:srgbClr>
                  </a:outerShdw>
                </a:effectLst>
                <a:latin typeface="Arabic Typesetting"/>
                <a:ea typeface="Calibri"/>
              </a:rPr>
              <a:t>“Pizzalegro”</a:t>
            </a:r>
            <a:endParaRPr lang="es-PE" sz="1200">
              <a:effectLst/>
              <a:latin typeface="Times New Roman"/>
              <a:ea typeface="Times New Roman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161925</xdr:colOff>
      <xdr:row>5</xdr:row>
      <xdr:rowOff>57150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5476875" y="0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161925</xdr:colOff>
      <xdr:row>2</xdr:row>
      <xdr:rowOff>152400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7553325" y="0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  <xdr:twoCellAnchor>
    <xdr:from>
      <xdr:col>1</xdr:col>
      <xdr:colOff>19050</xdr:colOff>
      <xdr:row>22</xdr:row>
      <xdr:rowOff>28575</xdr:rowOff>
    </xdr:from>
    <xdr:to>
      <xdr:col>2</xdr:col>
      <xdr:colOff>0</xdr:colOff>
      <xdr:row>23</xdr:row>
      <xdr:rowOff>66675</xdr:rowOff>
    </xdr:to>
    <xdr:grpSp>
      <xdr:nvGrpSpPr>
        <xdr:cNvPr id="3" name="6 Grupo"/>
        <xdr:cNvGrpSpPr>
          <a:grpSpLocks/>
        </xdr:cNvGrpSpPr>
      </xdr:nvGrpSpPr>
      <xdr:grpSpPr bwMode="auto">
        <a:xfrm>
          <a:off x="428625" y="4314825"/>
          <a:ext cx="1647825" cy="228600"/>
          <a:chOff x="514350" y="399317"/>
          <a:chExt cx="1533339" cy="302885"/>
        </a:xfrm>
      </xdr:grpSpPr>
      <xdr:sp macro="" textlink="">
        <xdr:nvSpPr>
          <xdr:cNvPr id="4" name="6 Flecha abajo">
            <a:hlinkClick xmlns:r="http://schemas.openxmlformats.org/officeDocument/2006/relationships" r:id="rId2"/>
          </xdr:cNvPr>
          <xdr:cNvSpPr/>
        </xdr:nvSpPr>
        <xdr:spPr>
          <a:xfrm>
            <a:off x="1137936" y="399317"/>
            <a:ext cx="286166" cy="302885"/>
          </a:xfrm>
          <a:prstGeom prst="downArrow">
            <a:avLst/>
          </a:prstGeom>
          <a:ln w="15875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s-PE"/>
          </a:p>
        </xdr:txBody>
      </xdr:sp>
      <xdr:sp macro="" textlink="">
        <xdr:nvSpPr>
          <xdr:cNvPr id="5" name="7 Flecha izquierda">
            <a:hlinkClick xmlns:r="http://schemas.openxmlformats.org/officeDocument/2006/relationships" r:id="rId3"/>
          </xdr:cNvPr>
          <xdr:cNvSpPr/>
        </xdr:nvSpPr>
        <xdr:spPr>
          <a:xfrm>
            <a:off x="514350" y="399317"/>
            <a:ext cx="392945" cy="259616"/>
          </a:xfrm>
          <a:prstGeom prst="leftArrow">
            <a:avLst/>
          </a:prstGeom>
          <a:ln w="15875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s-PE"/>
          </a:p>
        </xdr:txBody>
      </xdr:sp>
      <xdr:sp macro="" textlink="">
        <xdr:nvSpPr>
          <xdr:cNvPr id="6" name="8 Flecha derecha">
            <a:hlinkClick xmlns:r="http://schemas.openxmlformats.org/officeDocument/2006/relationships" r:id="rId4"/>
          </xdr:cNvPr>
          <xdr:cNvSpPr/>
        </xdr:nvSpPr>
        <xdr:spPr>
          <a:xfrm>
            <a:off x="1680371" y="399317"/>
            <a:ext cx="367318" cy="274039"/>
          </a:xfrm>
          <a:prstGeom prst="rightArrow">
            <a:avLst/>
          </a:prstGeom>
          <a:ln w="15875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s-PE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0</xdr:rowOff>
    </xdr:from>
    <xdr:to>
      <xdr:col>0</xdr:col>
      <xdr:colOff>923925</xdr:colOff>
      <xdr:row>40</xdr:row>
      <xdr:rowOff>66675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0" y="4819650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0</xdr:col>
      <xdr:colOff>923925</xdr:colOff>
      <xdr:row>19</xdr:row>
      <xdr:rowOff>95250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0" y="2457450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28</xdr:row>
      <xdr:rowOff>0</xdr:rowOff>
    </xdr:from>
    <xdr:to>
      <xdr:col>2</xdr:col>
      <xdr:colOff>161925</xdr:colOff>
      <xdr:row>30</xdr:row>
      <xdr:rowOff>133350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352425" y="5895975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0</xdr:rowOff>
    </xdr:from>
    <xdr:to>
      <xdr:col>0</xdr:col>
      <xdr:colOff>923925</xdr:colOff>
      <xdr:row>27</xdr:row>
      <xdr:rowOff>66675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0" y="4105275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  <xdr:twoCellAnchor editAs="oneCell">
    <xdr:from>
      <xdr:col>2</xdr:col>
      <xdr:colOff>514350</xdr:colOff>
      <xdr:row>25</xdr:row>
      <xdr:rowOff>95250</xdr:rowOff>
    </xdr:from>
    <xdr:to>
      <xdr:col>6</xdr:col>
      <xdr:colOff>495299</xdr:colOff>
      <xdr:row>36</xdr:row>
      <xdr:rowOff>123826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8944" y="4262438"/>
          <a:ext cx="4136231" cy="1862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416719</xdr:colOff>
      <xdr:row>26</xdr:row>
      <xdr:rowOff>135731</xdr:rowOff>
    </xdr:from>
    <xdr:to>
      <xdr:col>10</xdr:col>
      <xdr:colOff>88106</xdr:colOff>
      <xdr:row>32</xdr:row>
      <xdr:rowOff>69056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5219" y="4469606"/>
          <a:ext cx="2683669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161925</xdr:colOff>
      <xdr:row>2</xdr:row>
      <xdr:rowOff>190500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5772150" y="0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0</xdr:col>
      <xdr:colOff>923925</xdr:colOff>
      <xdr:row>37</xdr:row>
      <xdr:rowOff>66675</xdr:rowOff>
    </xdr:to>
    <xdr:sp macro="" textlink="">
      <xdr:nvSpPr>
        <xdr:cNvPr id="4" name="3 Rectángulo redondeado">
          <a:hlinkClick xmlns:r="http://schemas.openxmlformats.org/officeDocument/2006/relationships" r:id="rId1"/>
        </xdr:cNvPr>
        <xdr:cNvSpPr/>
      </xdr:nvSpPr>
      <xdr:spPr>
        <a:xfrm>
          <a:off x="0" y="9448800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  <xdr:twoCellAnchor editAs="oneCell">
    <xdr:from>
      <xdr:col>7</xdr:col>
      <xdr:colOff>257176</xdr:colOff>
      <xdr:row>10</xdr:row>
      <xdr:rowOff>91829</xdr:rowOff>
    </xdr:from>
    <xdr:to>
      <xdr:col>8</xdr:col>
      <xdr:colOff>971551</xdr:colOff>
      <xdr:row>18</xdr:row>
      <xdr:rowOff>130969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6" y="2101604"/>
          <a:ext cx="1885950" cy="1470271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0</xdr:rowOff>
    </xdr:from>
    <xdr:to>
      <xdr:col>12</xdr:col>
      <xdr:colOff>161925</xdr:colOff>
      <xdr:row>4</xdr:row>
      <xdr:rowOff>28575</xdr:rowOff>
    </xdr:to>
    <xdr:sp macro="" textlink="">
      <xdr:nvSpPr>
        <xdr:cNvPr id="11" name="10 Rectángulo redondeado">
          <a:hlinkClick xmlns:r="http://schemas.openxmlformats.org/officeDocument/2006/relationships" r:id="rId1"/>
        </xdr:cNvPr>
        <xdr:cNvSpPr/>
      </xdr:nvSpPr>
      <xdr:spPr>
        <a:xfrm>
          <a:off x="10220325" y="180975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6</xdr:col>
      <xdr:colOff>9525</xdr:colOff>
      <xdr:row>14</xdr:row>
      <xdr:rowOff>76200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295275</xdr:colOff>
      <xdr:row>0</xdr:row>
      <xdr:rowOff>9525</xdr:rowOff>
    </xdr:from>
    <xdr:to>
      <xdr:col>12</xdr:col>
      <xdr:colOff>295275</xdr:colOff>
      <xdr:row>14</xdr:row>
      <xdr:rowOff>85725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</xdr:row>
      <xdr:rowOff>85725</xdr:rowOff>
    </xdr:from>
    <xdr:to>
      <xdr:col>6</xdr:col>
      <xdr:colOff>0</xdr:colOff>
      <xdr:row>29</xdr:row>
      <xdr:rowOff>161925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304800</xdr:colOff>
      <xdr:row>15</xdr:row>
      <xdr:rowOff>76200</xdr:rowOff>
    </xdr:from>
    <xdr:to>
      <xdr:col>12</xdr:col>
      <xdr:colOff>304800</xdr:colOff>
      <xdr:row>29</xdr:row>
      <xdr:rowOff>152400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31</xdr:row>
      <xdr:rowOff>19050</xdr:rowOff>
    </xdr:from>
    <xdr:to>
      <xdr:col>6</xdr:col>
      <xdr:colOff>0</xdr:colOff>
      <xdr:row>45</xdr:row>
      <xdr:rowOff>95250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314325</xdr:colOff>
      <xdr:row>30</xdr:row>
      <xdr:rowOff>171450</xdr:rowOff>
    </xdr:from>
    <xdr:to>
      <xdr:col>12</xdr:col>
      <xdr:colOff>314325</xdr:colOff>
      <xdr:row>45</xdr:row>
      <xdr:rowOff>57150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46</xdr:row>
      <xdr:rowOff>0</xdr:rowOff>
    </xdr:from>
    <xdr:to>
      <xdr:col>6</xdr:col>
      <xdr:colOff>0</xdr:colOff>
      <xdr:row>60</xdr:row>
      <xdr:rowOff>76200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371475</xdr:colOff>
      <xdr:row>46</xdr:row>
      <xdr:rowOff>9525</xdr:rowOff>
    </xdr:from>
    <xdr:to>
      <xdr:col>12</xdr:col>
      <xdr:colOff>371475</xdr:colOff>
      <xdr:row>60</xdr:row>
      <xdr:rowOff>85725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371475</xdr:colOff>
      <xdr:row>0</xdr:row>
      <xdr:rowOff>0</xdr:rowOff>
    </xdr:from>
    <xdr:to>
      <xdr:col>13</xdr:col>
      <xdr:colOff>533400</xdr:colOff>
      <xdr:row>2</xdr:row>
      <xdr:rowOff>171450</xdr:rowOff>
    </xdr:to>
    <xdr:sp macro="" textlink="">
      <xdr:nvSpPr>
        <xdr:cNvPr id="10" name="9 Rectángulo redondeado">
          <a:hlinkClick xmlns:r="http://schemas.openxmlformats.org/officeDocument/2006/relationships" r:id="rId9"/>
        </xdr:cNvPr>
        <xdr:cNvSpPr/>
      </xdr:nvSpPr>
      <xdr:spPr>
        <a:xfrm>
          <a:off x="9515475" y="0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76200</xdr:rowOff>
    </xdr:from>
    <xdr:to>
      <xdr:col>8</xdr:col>
      <xdr:colOff>209550</xdr:colOff>
      <xdr:row>3</xdr:row>
      <xdr:rowOff>123825</xdr:rowOff>
    </xdr:to>
    <xdr:sp macro="" textlink="">
      <xdr:nvSpPr>
        <xdr:cNvPr id="4" name="3 Rectángulo redondeado">
          <a:hlinkClick xmlns:r="http://schemas.openxmlformats.org/officeDocument/2006/relationships" r:id="rId1"/>
        </xdr:cNvPr>
        <xdr:cNvSpPr/>
      </xdr:nvSpPr>
      <xdr:spPr>
        <a:xfrm>
          <a:off x="6496050" y="76200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5</xdr:row>
      <xdr:rowOff>9525</xdr:rowOff>
    </xdr:from>
    <xdr:to>
      <xdr:col>8</xdr:col>
      <xdr:colOff>171450</xdr:colOff>
      <xdr:row>7</xdr:row>
      <xdr:rowOff>133350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62025"/>
          <a:ext cx="474345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571501</xdr:colOff>
      <xdr:row>3</xdr:row>
      <xdr:rowOff>180974</xdr:rowOff>
    </xdr:from>
    <xdr:to>
      <xdr:col>7</xdr:col>
      <xdr:colOff>381001</xdr:colOff>
      <xdr:row>14</xdr:row>
      <xdr:rowOff>142875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76201</xdr:colOff>
      <xdr:row>19</xdr:row>
      <xdr:rowOff>190499</xdr:rowOff>
    </xdr:from>
    <xdr:to>
      <xdr:col>6</xdr:col>
      <xdr:colOff>590551</xdr:colOff>
      <xdr:row>29</xdr:row>
      <xdr:rowOff>142874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57151</xdr:colOff>
      <xdr:row>30</xdr:row>
      <xdr:rowOff>104775</xdr:rowOff>
    </xdr:from>
    <xdr:to>
      <xdr:col>7</xdr:col>
      <xdr:colOff>704850</xdr:colOff>
      <xdr:row>43</xdr:row>
      <xdr:rowOff>38100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219075</xdr:colOff>
      <xdr:row>46</xdr:row>
      <xdr:rowOff>190499</xdr:rowOff>
    </xdr:from>
    <xdr:to>
      <xdr:col>7</xdr:col>
      <xdr:colOff>1209675</xdr:colOff>
      <xdr:row>59</xdr:row>
      <xdr:rowOff>161925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161925</xdr:colOff>
      <xdr:row>63</xdr:row>
      <xdr:rowOff>9525</xdr:rowOff>
    </xdr:from>
    <xdr:to>
      <xdr:col>7</xdr:col>
      <xdr:colOff>1609725</xdr:colOff>
      <xdr:row>74</xdr:row>
      <xdr:rowOff>152400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657225</xdr:colOff>
      <xdr:row>79</xdr:row>
      <xdr:rowOff>28576</xdr:rowOff>
    </xdr:from>
    <xdr:to>
      <xdr:col>7</xdr:col>
      <xdr:colOff>1466850</xdr:colOff>
      <xdr:row>90</xdr:row>
      <xdr:rowOff>9526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123826</xdr:colOff>
      <xdr:row>92</xdr:row>
      <xdr:rowOff>109537</xdr:rowOff>
    </xdr:from>
    <xdr:to>
      <xdr:col>7</xdr:col>
      <xdr:colOff>1905001</xdr:colOff>
      <xdr:row>106</xdr:row>
      <xdr:rowOff>185737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371475</xdr:colOff>
      <xdr:row>4</xdr:row>
      <xdr:rowOff>185737</xdr:rowOff>
    </xdr:from>
    <xdr:to>
      <xdr:col>17</xdr:col>
      <xdr:colOff>219075</xdr:colOff>
      <xdr:row>20</xdr:row>
      <xdr:rowOff>161925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171450</xdr:colOff>
      <xdr:row>23</xdr:row>
      <xdr:rowOff>14287</xdr:rowOff>
    </xdr:from>
    <xdr:to>
      <xdr:col>16</xdr:col>
      <xdr:colOff>171450</xdr:colOff>
      <xdr:row>37</xdr:row>
      <xdr:rowOff>90487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133350</xdr:colOff>
      <xdr:row>41</xdr:row>
      <xdr:rowOff>52387</xdr:rowOff>
    </xdr:from>
    <xdr:to>
      <xdr:col>16</xdr:col>
      <xdr:colOff>133350</xdr:colOff>
      <xdr:row>55</xdr:row>
      <xdr:rowOff>128587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152400</xdr:colOff>
      <xdr:row>58</xdr:row>
      <xdr:rowOff>109537</xdr:rowOff>
    </xdr:from>
    <xdr:to>
      <xdr:col>16</xdr:col>
      <xdr:colOff>152400</xdr:colOff>
      <xdr:row>72</xdr:row>
      <xdr:rowOff>185737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104775</xdr:colOff>
      <xdr:row>76</xdr:row>
      <xdr:rowOff>185737</xdr:rowOff>
    </xdr:from>
    <xdr:to>
      <xdr:col>15</xdr:col>
      <xdr:colOff>38100</xdr:colOff>
      <xdr:row>86</xdr:row>
      <xdr:rowOff>47625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152400</xdr:colOff>
      <xdr:row>90</xdr:row>
      <xdr:rowOff>185737</xdr:rowOff>
    </xdr:from>
    <xdr:to>
      <xdr:col>16</xdr:col>
      <xdr:colOff>152400</xdr:colOff>
      <xdr:row>105</xdr:row>
      <xdr:rowOff>71437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171450</xdr:colOff>
      <xdr:row>108</xdr:row>
      <xdr:rowOff>185737</xdr:rowOff>
    </xdr:from>
    <xdr:to>
      <xdr:col>16</xdr:col>
      <xdr:colOff>19050</xdr:colOff>
      <xdr:row>122</xdr:row>
      <xdr:rowOff>161925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3</xdr:col>
      <xdr:colOff>161925</xdr:colOff>
      <xdr:row>3</xdr:row>
      <xdr:rowOff>171450</xdr:rowOff>
    </xdr:to>
    <xdr:sp macro="" textlink="">
      <xdr:nvSpPr>
        <xdr:cNvPr id="55" name="54 Rectángulo redondeado">
          <a:hlinkClick xmlns:r="http://schemas.openxmlformats.org/officeDocument/2006/relationships" r:id="rId1"/>
        </xdr:cNvPr>
        <xdr:cNvSpPr/>
      </xdr:nvSpPr>
      <xdr:spPr>
        <a:xfrm>
          <a:off x="6753225" y="114300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  <xdr:twoCellAnchor editAs="oneCell">
    <xdr:from>
      <xdr:col>1</xdr:col>
      <xdr:colOff>571500</xdr:colOff>
      <xdr:row>5</xdr:row>
      <xdr:rowOff>9525</xdr:rowOff>
    </xdr:from>
    <xdr:to>
      <xdr:col>9</xdr:col>
      <xdr:colOff>131445</xdr:colOff>
      <xdr:row>29</xdr:row>
      <xdr:rowOff>189865</xdr:rowOff>
    </xdr:to>
    <xdr:pic>
      <xdr:nvPicPr>
        <xdr:cNvPr id="109" name="108 Imagen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885825"/>
          <a:ext cx="5655945" cy="4752340"/>
        </a:xfrm>
        <a:prstGeom prst="rect">
          <a:avLst/>
        </a:prstGeom>
        <a:noFill/>
        <a:ln w="12700" cmpd="sng">
          <a:solidFill>
            <a:schemeClr val="tx1"/>
          </a:solidFill>
        </a:ln>
      </xdr:spPr>
    </xdr:pic>
    <xdr:clientData/>
  </xdr:twoCellAnchor>
  <xdr:twoCellAnchor>
    <xdr:from>
      <xdr:col>4</xdr:col>
      <xdr:colOff>271462</xdr:colOff>
      <xdr:row>8</xdr:row>
      <xdr:rowOff>166688</xdr:rowOff>
    </xdr:from>
    <xdr:to>
      <xdr:col>4</xdr:col>
      <xdr:colOff>471487</xdr:colOff>
      <xdr:row>13</xdr:row>
      <xdr:rowOff>90488</xdr:rowOff>
    </xdr:to>
    <xdr:sp macro="" textlink="">
      <xdr:nvSpPr>
        <xdr:cNvPr id="4" name="3 CuadroTexto"/>
        <xdr:cNvSpPr txBox="1"/>
      </xdr:nvSpPr>
      <xdr:spPr>
        <a:xfrm rot="5400000">
          <a:off x="2790825" y="1952625"/>
          <a:ext cx="876300" cy="200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PE" sz="1100" b="1"/>
            <a:t>SS.HH</a:t>
          </a:r>
        </a:p>
      </xdr:txBody>
    </xdr:sp>
    <xdr:clientData/>
  </xdr:twoCellAnchor>
  <xdr:twoCellAnchor editAs="oneCell">
    <xdr:from>
      <xdr:col>10</xdr:col>
      <xdr:colOff>610994</xdr:colOff>
      <xdr:row>8</xdr:row>
      <xdr:rowOff>123826</xdr:rowOff>
    </xdr:from>
    <xdr:to>
      <xdr:col>12</xdr:col>
      <xdr:colOff>66675</xdr:colOff>
      <xdr:row>12</xdr:row>
      <xdr:rowOff>15537</xdr:rowOff>
    </xdr:to>
    <xdr:pic>
      <xdr:nvPicPr>
        <xdr:cNvPr id="15361" name="Picture 1" descr="Resultado de imagen para pizzeria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40494" y="1571626"/>
          <a:ext cx="979681" cy="653711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523874</xdr:colOff>
      <xdr:row>2</xdr:row>
      <xdr:rowOff>47624</xdr:rowOff>
    </xdr:from>
    <xdr:to>
      <xdr:col>10</xdr:col>
      <xdr:colOff>638175</xdr:colOff>
      <xdr:row>18</xdr:row>
      <xdr:rowOff>209549</xdr:rowOff>
    </xdr:to>
    <xdr:grpSp>
      <xdr:nvGrpSpPr>
        <xdr:cNvPr id="16385" name="Group 1"/>
        <xdr:cNvGrpSpPr>
          <a:grpSpLocks/>
        </xdr:cNvGrpSpPr>
      </xdr:nvGrpSpPr>
      <xdr:grpSpPr bwMode="auto">
        <a:xfrm>
          <a:off x="1285874" y="466724"/>
          <a:ext cx="6972301" cy="3514725"/>
          <a:chOff x="1380" y="9298"/>
          <a:chExt cx="9331" cy="3805"/>
        </a:xfrm>
      </xdr:grpSpPr>
      <xdr:sp macro="" textlink="">
        <xdr:nvSpPr>
          <xdr:cNvPr id="16386" name="Text Box 2"/>
          <xdr:cNvSpPr txBox="1">
            <a:spLocks noChangeArrowheads="1"/>
          </xdr:cNvSpPr>
        </xdr:nvSpPr>
        <xdr:spPr bwMode="auto">
          <a:xfrm>
            <a:off x="4890" y="9298"/>
            <a:ext cx="1846" cy="615"/>
          </a:xfrm>
          <a:prstGeom prst="rect">
            <a:avLst/>
          </a:prstGeom>
          <a:ln>
            <a:headEnd/>
            <a:tailEnd/>
          </a:ln>
        </xdr:spPr>
        <xdr:style>
          <a:lnRef idx="0">
            <a:schemeClr val="accent2"/>
          </a:lnRef>
          <a:fillRef idx="3">
            <a:schemeClr val="accent2"/>
          </a:fillRef>
          <a:effectRef idx="3">
            <a:schemeClr val="accent2"/>
          </a:effectRef>
          <a:fontRef idx="minor">
            <a:schemeClr val="lt1"/>
          </a:fontRef>
        </xdr:style>
        <xdr:txBody>
          <a:bodyPr vertOverflow="clip" wrap="square" lIns="91440" tIns="45720" rIns="91440" bIns="45720" anchor="ctr" upright="1"/>
          <a:lstStyle/>
          <a:p>
            <a:pPr algn="ctr" rtl="1">
              <a:defRPr sz="1000"/>
            </a:pPr>
            <a:r>
              <a:rPr lang="es-PE" sz="800" b="0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ADMINISTRACION</a:t>
            </a:r>
          </a:p>
        </xdr:txBody>
      </xdr:sp>
      <xdr:sp macro="" textlink="">
        <xdr:nvSpPr>
          <xdr:cNvPr id="16387" name="Text Box 3"/>
          <xdr:cNvSpPr txBox="1">
            <a:spLocks noChangeArrowheads="1"/>
          </xdr:cNvSpPr>
        </xdr:nvSpPr>
        <xdr:spPr bwMode="auto">
          <a:xfrm>
            <a:off x="1665" y="10598"/>
            <a:ext cx="1650" cy="615"/>
          </a:xfrm>
          <a:prstGeom prst="rect">
            <a:avLst/>
          </a:prstGeom>
          <a:ln>
            <a:headEnd/>
            <a:tailEnd/>
          </a:ln>
        </xdr:spPr>
        <xdr:style>
          <a:lnRef idx="0">
            <a:schemeClr val="accent4"/>
          </a:lnRef>
          <a:fillRef idx="3">
            <a:schemeClr val="accent4"/>
          </a:fillRef>
          <a:effectRef idx="3">
            <a:schemeClr val="accent4"/>
          </a:effectRef>
          <a:fontRef idx="minor">
            <a:schemeClr val="lt1"/>
          </a:fontRef>
        </xdr:style>
        <xdr:txBody>
          <a:bodyPr vertOverflow="clip" wrap="square" lIns="91440" tIns="45720" rIns="91440" bIns="45720" anchor="ctr" upright="1"/>
          <a:lstStyle/>
          <a:p>
            <a:pPr algn="ctr" rtl="1">
              <a:defRPr sz="1000"/>
            </a:pPr>
            <a:r>
              <a:rPr lang="es-PE" sz="800" b="0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CONTABILIDAD</a:t>
            </a:r>
          </a:p>
        </xdr:txBody>
      </xdr:sp>
      <xdr:sp macro="" textlink="">
        <xdr:nvSpPr>
          <xdr:cNvPr id="16388" name="Text Box 4"/>
          <xdr:cNvSpPr txBox="1">
            <a:spLocks noChangeArrowheads="1"/>
          </xdr:cNvSpPr>
        </xdr:nvSpPr>
        <xdr:spPr bwMode="auto">
          <a:xfrm>
            <a:off x="4005" y="10598"/>
            <a:ext cx="1650" cy="615"/>
          </a:xfrm>
          <a:prstGeom prst="rect">
            <a:avLst/>
          </a:prstGeom>
          <a:ln>
            <a:headEnd/>
            <a:tailEnd/>
          </a:ln>
        </xdr:spPr>
        <xdr:style>
          <a:lnRef idx="0">
            <a:schemeClr val="accent4"/>
          </a:lnRef>
          <a:fillRef idx="3">
            <a:schemeClr val="accent4"/>
          </a:fillRef>
          <a:effectRef idx="3">
            <a:schemeClr val="accent4"/>
          </a:effectRef>
          <a:fontRef idx="minor">
            <a:schemeClr val="lt1"/>
          </a:fontRef>
        </xdr:style>
        <xdr:txBody>
          <a:bodyPr vertOverflow="clip" wrap="square" lIns="91440" tIns="45720" rIns="91440" bIns="45720" anchor="ctr" upright="1"/>
          <a:lstStyle/>
          <a:p>
            <a:pPr marL="0" indent="0" algn="ctr" rtl="1">
              <a:defRPr sz="1000"/>
            </a:pPr>
            <a:r>
              <a:rPr lang="es-PE" sz="800" b="0" i="0" strike="noStrike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JEFE</a:t>
            </a:r>
            <a:r>
              <a:rPr lang="es-PE" sz="800" b="0" i="0" strike="noStrike" baseline="0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DE </a:t>
            </a:r>
          </a:p>
          <a:p>
            <a:pPr marL="0" indent="0" algn="ctr" rtl="1">
              <a:defRPr sz="1000"/>
            </a:pPr>
            <a:r>
              <a:rPr lang="es-PE" sz="800" b="0" i="0" strike="noStrike" baseline="0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COCINA</a:t>
            </a:r>
            <a:endParaRPr lang="es-PE" sz="800" b="0" i="0" strike="noStrike">
              <a:solidFill>
                <a:srgbClr val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16389" name="Text Box 5"/>
          <xdr:cNvSpPr txBox="1">
            <a:spLocks noChangeArrowheads="1"/>
          </xdr:cNvSpPr>
        </xdr:nvSpPr>
        <xdr:spPr bwMode="auto">
          <a:xfrm>
            <a:off x="6270" y="10613"/>
            <a:ext cx="1650" cy="615"/>
          </a:xfrm>
          <a:prstGeom prst="rect">
            <a:avLst/>
          </a:prstGeom>
          <a:ln>
            <a:headEnd/>
            <a:tailEnd/>
          </a:ln>
        </xdr:spPr>
        <xdr:style>
          <a:lnRef idx="0">
            <a:schemeClr val="accent4"/>
          </a:lnRef>
          <a:fillRef idx="3">
            <a:schemeClr val="accent4"/>
          </a:fillRef>
          <a:effectRef idx="3">
            <a:schemeClr val="accent4"/>
          </a:effectRef>
          <a:fontRef idx="minor">
            <a:schemeClr val="lt1"/>
          </a:fontRef>
        </xdr:style>
        <xdr:txBody>
          <a:bodyPr vertOverflow="clip" wrap="square" lIns="91440" tIns="45720" rIns="91440" bIns="45720" anchor="ctr" upright="1"/>
          <a:lstStyle/>
          <a:p>
            <a:pPr algn="ctr" rtl="1">
              <a:defRPr sz="1000"/>
            </a:pPr>
            <a:r>
              <a:rPr lang="es-PE" sz="900" b="0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ABASTECIMIENTO</a:t>
            </a:r>
          </a:p>
        </xdr:txBody>
      </xdr:sp>
      <xdr:sp macro="" textlink="">
        <xdr:nvSpPr>
          <xdr:cNvPr id="16390" name="Text Box 6"/>
          <xdr:cNvSpPr txBox="1">
            <a:spLocks noChangeArrowheads="1"/>
          </xdr:cNvSpPr>
        </xdr:nvSpPr>
        <xdr:spPr bwMode="auto">
          <a:xfrm>
            <a:off x="8850" y="10598"/>
            <a:ext cx="1650" cy="793"/>
          </a:xfrm>
          <a:prstGeom prst="rect">
            <a:avLst/>
          </a:prstGeom>
          <a:ln>
            <a:headEnd/>
            <a:tailEnd/>
          </a:ln>
        </xdr:spPr>
        <xdr:style>
          <a:lnRef idx="0">
            <a:schemeClr val="accent4"/>
          </a:lnRef>
          <a:fillRef idx="3">
            <a:schemeClr val="accent4"/>
          </a:fillRef>
          <a:effectRef idx="3">
            <a:schemeClr val="accent4"/>
          </a:effectRef>
          <a:fontRef idx="minor">
            <a:schemeClr val="lt1"/>
          </a:fontRef>
        </xdr:style>
        <xdr:txBody>
          <a:bodyPr vertOverflow="clip" wrap="square" lIns="91440" tIns="45720" rIns="91440" bIns="45720" anchor="ctr" upright="1"/>
          <a:lstStyle/>
          <a:p>
            <a:pPr algn="ctr" rtl="1">
              <a:defRPr sz="1000"/>
            </a:pPr>
            <a:endParaRPr lang="es-PE" sz="11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 rtl="1">
              <a:defRPr sz="1000"/>
            </a:pPr>
            <a:r>
              <a:rPr lang="es-PE" sz="1100" b="0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SERVICIO</a:t>
            </a:r>
          </a:p>
          <a:p>
            <a:pPr algn="ctr" rtl="1">
              <a:defRPr sz="1000"/>
            </a:pPr>
            <a:r>
              <a:rPr lang="es-PE" sz="1100" b="0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DELIVERY</a:t>
            </a:r>
          </a:p>
        </xdr:txBody>
      </xdr:sp>
      <xdr:sp macro="" textlink="">
        <xdr:nvSpPr>
          <xdr:cNvPr id="16391" name="Text Box 7"/>
          <xdr:cNvSpPr txBox="1">
            <a:spLocks noChangeArrowheads="1"/>
          </xdr:cNvSpPr>
        </xdr:nvSpPr>
        <xdr:spPr bwMode="auto">
          <a:xfrm>
            <a:off x="1650" y="11663"/>
            <a:ext cx="1650" cy="615"/>
          </a:xfrm>
          <a:prstGeom prst="rect">
            <a:avLst/>
          </a:prstGeom>
          <a:ln>
            <a:headEnd/>
            <a:tailEnd/>
          </a:ln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vertOverflow="clip" wrap="square" lIns="91440" tIns="45720" rIns="91440" bIns="45720" anchor="ctr" upright="1"/>
          <a:lstStyle/>
          <a:p>
            <a:pPr algn="ctr" rtl="1">
              <a:defRPr sz="1000"/>
            </a:pPr>
            <a:r>
              <a:rPr lang="es-PE" sz="800" b="0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TECNICOE</a:t>
            </a:r>
          </a:p>
          <a:p>
            <a:pPr algn="ctr" rtl="1">
              <a:defRPr sz="1000"/>
            </a:pPr>
            <a:r>
              <a:rPr lang="es-PE" sz="800" b="0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CONTABLE</a:t>
            </a:r>
          </a:p>
        </xdr:txBody>
      </xdr:sp>
      <xdr:sp macro="" textlink="">
        <xdr:nvSpPr>
          <xdr:cNvPr id="16392" name="Text Box 8"/>
          <xdr:cNvSpPr txBox="1">
            <a:spLocks noChangeArrowheads="1"/>
          </xdr:cNvSpPr>
        </xdr:nvSpPr>
        <xdr:spPr bwMode="auto">
          <a:xfrm>
            <a:off x="1665" y="12488"/>
            <a:ext cx="1650" cy="615"/>
          </a:xfrm>
          <a:prstGeom prst="rect">
            <a:avLst/>
          </a:prstGeom>
          <a:ln>
            <a:headEnd/>
            <a:tailEnd/>
          </a:ln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vertOverflow="clip" wrap="square" lIns="91440" tIns="45720" rIns="91440" bIns="45720" anchor="ctr" upright="1"/>
          <a:lstStyle/>
          <a:p>
            <a:pPr algn="ctr" rtl="1">
              <a:defRPr sz="1000"/>
            </a:pPr>
            <a:r>
              <a:rPr lang="es-PE" sz="800" b="0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CAJERO</a:t>
            </a:r>
          </a:p>
        </xdr:txBody>
      </xdr:sp>
      <xdr:sp macro="" textlink="">
        <xdr:nvSpPr>
          <xdr:cNvPr id="16393" name="Text Box 9"/>
          <xdr:cNvSpPr txBox="1">
            <a:spLocks noChangeArrowheads="1"/>
          </xdr:cNvSpPr>
        </xdr:nvSpPr>
        <xdr:spPr bwMode="auto">
          <a:xfrm>
            <a:off x="3975" y="11663"/>
            <a:ext cx="1650" cy="615"/>
          </a:xfrm>
          <a:prstGeom prst="rect">
            <a:avLst/>
          </a:prstGeom>
          <a:ln>
            <a:headEnd/>
            <a:tailEnd/>
          </a:ln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vertOverflow="clip" wrap="square" lIns="91440" tIns="45720" rIns="91440" bIns="45720" anchor="ctr" upright="1"/>
          <a:lstStyle/>
          <a:p>
            <a:pPr algn="ctr" rtl="1">
              <a:defRPr sz="1000"/>
            </a:pPr>
            <a:r>
              <a:rPr lang="es-PE" sz="800" b="0" i="0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CHEF</a:t>
            </a:r>
            <a:endParaRPr lang="es-PE" sz="11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6394" name="Text Box 10"/>
          <xdr:cNvSpPr txBox="1">
            <a:spLocks noChangeArrowheads="1"/>
          </xdr:cNvSpPr>
        </xdr:nvSpPr>
        <xdr:spPr bwMode="auto">
          <a:xfrm>
            <a:off x="3990" y="12488"/>
            <a:ext cx="1650" cy="615"/>
          </a:xfrm>
          <a:prstGeom prst="rect">
            <a:avLst/>
          </a:prstGeom>
          <a:ln>
            <a:headEnd/>
            <a:tailEnd/>
          </a:ln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vertOverflow="clip" wrap="square" lIns="91440" tIns="45720" rIns="91440" bIns="45720" anchor="ctr" upright="1"/>
          <a:lstStyle/>
          <a:p>
            <a:pPr marL="0" indent="0" algn="ctr" rtl="1">
              <a:defRPr sz="1000"/>
            </a:pPr>
            <a:r>
              <a:rPr lang="es-PE" sz="800" b="0" i="0" strike="noStrike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MOZOS</a:t>
            </a:r>
          </a:p>
        </xdr:txBody>
      </xdr:sp>
      <xdr:sp macro="" textlink="">
        <xdr:nvSpPr>
          <xdr:cNvPr id="16395" name="Text Box 11"/>
          <xdr:cNvSpPr txBox="1">
            <a:spLocks noChangeArrowheads="1"/>
          </xdr:cNvSpPr>
        </xdr:nvSpPr>
        <xdr:spPr bwMode="auto">
          <a:xfrm>
            <a:off x="6270" y="11573"/>
            <a:ext cx="1650" cy="615"/>
          </a:xfrm>
          <a:prstGeom prst="rect">
            <a:avLst/>
          </a:prstGeom>
          <a:ln>
            <a:headEnd/>
            <a:tailEnd/>
          </a:ln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vertOverflow="clip" wrap="square" lIns="91440" tIns="45720" rIns="91440" bIns="45720" anchor="ctr" upright="1"/>
          <a:lstStyle/>
          <a:p>
            <a:pPr algn="ctr" rtl="1">
              <a:defRPr sz="1000"/>
            </a:pPr>
            <a:r>
              <a:rPr lang="es-PE" sz="1100" b="0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ALMACENERO</a:t>
            </a:r>
          </a:p>
        </xdr:txBody>
      </xdr:sp>
      <xdr:sp macro="" textlink="">
        <xdr:nvSpPr>
          <xdr:cNvPr id="16396" name="Text Box 12"/>
          <xdr:cNvSpPr txBox="1">
            <a:spLocks noChangeArrowheads="1"/>
          </xdr:cNvSpPr>
        </xdr:nvSpPr>
        <xdr:spPr bwMode="auto">
          <a:xfrm>
            <a:off x="6270" y="12413"/>
            <a:ext cx="1650" cy="615"/>
          </a:xfrm>
          <a:prstGeom prst="rect">
            <a:avLst/>
          </a:prstGeom>
          <a:ln>
            <a:headEnd/>
            <a:tailEnd/>
          </a:ln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vertOverflow="clip" wrap="square" lIns="91440" tIns="45720" rIns="91440" bIns="45720" anchor="ctr" upright="1"/>
          <a:lstStyle/>
          <a:p>
            <a:pPr marL="0" indent="0" algn="ctr" rtl="1">
              <a:defRPr sz="1000"/>
            </a:pPr>
            <a:r>
              <a:rPr lang="es-PE" sz="800" b="0" i="0" strike="noStrike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ASISTENTES</a:t>
            </a:r>
          </a:p>
        </xdr:txBody>
      </xdr:sp>
      <xdr:sp macro="" textlink="">
        <xdr:nvSpPr>
          <xdr:cNvPr id="16397" name="Text Box 13"/>
          <xdr:cNvSpPr txBox="1">
            <a:spLocks noChangeArrowheads="1"/>
          </xdr:cNvSpPr>
        </xdr:nvSpPr>
        <xdr:spPr bwMode="auto">
          <a:xfrm>
            <a:off x="8790" y="11618"/>
            <a:ext cx="1650" cy="615"/>
          </a:xfrm>
          <a:prstGeom prst="rect">
            <a:avLst/>
          </a:prstGeom>
          <a:ln>
            <a:headEnd/>
            <a:tailEnd/>
          </a:ln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vertOverflow="clip" wrap="square" lIns="91440" tIns="45720" rIns="91440" bIns="45720" anchor="ctr" upright="1"/>
          <a:lstStyle/>
          <a:p>
            <a:pPr marL="0" indent="0" algn="ctr" rtl="1">
              <a:defRPr sz="1000"/>
            </a:pPr>
            <a:r>
              <a:rPr lang="es-PE" sz="800" b="0" i="0" strike="noStrike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REPARTIDOR 1S</a:t>
            </a:r>
          </a:p>
        </xdr:txBody>
      </xdr:sp>
      <xdr:sp macro="" textlink="">
        <xdr:nvSpPr>
          <xdr:cNvPr id="16398" name="Text Box 14"/>
          <xdr:cNvSpPr txBox="1">
            <a:spLocks noChangeArrowheads="1"/>
          </xdr:cNvSpPr>
        </xdr:nvSpPr>
        <xdr:spPr bwMode="auto">
          <a:xfrm>
            <a:off x="8790" y="12383"/>
            <a:ext cx="1650" cy="615"/>
          </a:xfrm>
          <a:prstGeom prst="rect">
            <a:avLst/>
          </a:prstGeom>
          <a:ln>
            <a:headEnd/>
            <a:tailEnd/>
          </a:ln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vertOverflow="clip" wrap="square" lIns="91440" tIns="45720" rIns="91440" bIns="45720" anchor="ctr" upright="1"/>
          <a:lstStyle/>
          <a:p>
            <a:pPr marL="0" indent="0" algn="ctr" rtl="1">
              <a:defRPr sz="1000"/>
            </a:pPr>
            <a:r>
              <a:rPr lang="es-PE" sz="800" b="0" i="0" strike="noStrike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REPARTIDOR 2</a:t>
            </a:r>
          </a:p>
        </xdr:txBody>
      </xdr:sp>
      <xdr:cxnSp macro="">
        <xdr:nvCxnSpPr>
          <xdr:cNvPr id="16399" name="AutoShape 15"/>
          <xdr:cNvCxnSpPr>
            <a:cxnSpLocks noChangeShapeType="1"/>
          </xdr:cNvCxnSpPr>
        </xdr:nvCxnSpPr>
        <xdr:spPr bwMode="auto">
          <a:xfrm>
            <a:off x="3676" y="11408"/>
            <a:ext cx="14" cy="141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00" name="AutoShape 16"/>
          <xdr:cNvCxnSpPr>
            <a:cxnSpLocks noChangeShapeType="1"/>
          </xdr:cNvCxnSpPr>
        </xdr:nvCxnSpPr>
        <xdr:spPr bwMode="auto">
          <a:xfrm flipH="1">
            <a:off x="8205" y="11348"/>
            <a:ext cx="1" cy="135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01" name="AutoShape 17"/>
          <xdr:cNvCxnSpPr>
            <a:cxnSpLocks noChangeShapeType="1"/>
          </xdr:cNvCxnSpPr>
        </xdr:nvCxnSpPr>
        <xdr:spPr bwMode="auto">
          <a:xfrm>
            <a:off x="3690" y="11993"/>
            <a:ext cx="270" cy="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02" name="AutoShape 18"/>
          <xdr:cNvCxnSpPr>
            <a:cxnSpLocks noChangeShapeType="1"/>
          </xdr:cNvCxnSpPr>
        </xdr:nvCxnSpPr>
        <xdr:spPr bwMode="auto">
          <a:xfrm>
            <a:off x="3675" y="12818"/>
            <a:ext cx="300" cy="1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03" name="AutoShape 19"/>
          <xdr:cNvCxnSpPr>
            <a:cxnSpLocks noChangeShapeType="1"/>
          </xdr:cNvCxnSpPr>
        </xdr:nvCxnSpPr>
        <xdr:spPr bwMode="auto">
          <a:xfrm>
            <a:off x="7935" y="11903"/>
            <a:ext cx="270" cy="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04" name="AutoShape 20"/>
          <xdr:cNvCxnSpPr>
            <a:cxnSpLocks noChangeShapeType="1"/>
          </xdr:cNvCxnSpPr>
        </xdr:nvCxnSpPr>
        <xdr:spPr bwMode="auto">
          <a:xfrm>
            <a:off x="7935" y="12713"/>
            <a:ext cx="270" cy="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05" name="AutoShape 21"/>
          <xdr:cNvCxnSpPr>
            <a:cxnSpLocks noChangeShapeType="1"/>
          </xdr:cNvCxnSpPr>
        </xdr:nvCxnSpPr>
        <xdr:spPr bwMode="auto">
          <a:xfrm flipV="1">
            <a:off x="4816" y="10208"/>
            <a:ext cx="1" cy="39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06" name="AutoShape 22"/>
          <xdr:cNvCxnSpPr>
            <a:cxnSpLocks noChangeShapeType="1"/>
          </xdr:cNvCxnSpPr>
        </xdr:nvCxnSpPr>
        <xdr:spPr bwMode="auto">
          <a:xfrm flipV="1">
            <a:off x="7141" y="10223"/>
            <a:ext cx="1" cy="375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07" name="AutoShape 23"/>
          <xdr:cNvCxnSpPr>
            <a:cxnSpLocks noChangeShapeType="1"/>
          </xdr:cNvCxnSpPr>
        </xdr:nvCxnSpPr>
        <xdr:spPr bwMode="auto">
          <a:xfrm flipV="1">
            <a:off x="9660" y="10223"/>
            <a:ext cx="1" cy="375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08" name="AutoShape 24"/>
          <xdr:cNvCxnSpPr>
            <a:cxnSpLocks noChangeShapeType="1"/>
          </xdr:cNvCxnSpPr>
        </xdr:nvCxnSpPr>
        <xdr:spPr bwMode="auto">
          <a:xfrm>
            <a:off x="2521" y="10223"/>
            <a:ext cx="7139" cy="1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09" name="AutoShape 25"/>
          <xdr:cNvCxnSpPr>
            <a:cxnSpLocks noChangeShapeType="1"/>
          </xdr:cNvCxnSpPr>
        </xdr:nvCxnSpPr>
        <xdr:spPr bwMode="auto">
          <a:xfrm>
            <a:off x="5805" y="9938"/>
            <a:ext cx="0" cy="285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10" name="AutoShape 26"/>
          <xdr:cNvCxnSpPr>
            <a:cxnSpLocks noChangeShapeType="1"/>
          </xdr:cNvCxnSpPr>
        </xdr:nvCxnSpPr>
        <xdr:spPr bwMode="auto">
          <a:xfrm>
            <a:off x="7125" y="11378"/>
            <a:ext cx="1065" cy="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11" name="AutoShape 27"/>
          <xdr:cNvCxnSpPr>
            <a:cxnSpLocks noChangeShapeType="1"/>
          </xdr:cNvCxnSpPr>
        </xdr:nvCxnSpPr>
        <xdr:spPr bwMode="auto">
          <a:xfrm>
            <a:off x="7140" y="11213"/>
            <a:ext cx="1" cy="18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12" name="AutoShape 28"/>
          <xdr:cNvCxnSpPr>
            <a:cxnSpLocks noChangeShapeType="1"/>
          </xdr:cNvCxnSpPr>
        </xdr:nvCxnSpPr>
        <xdr:spPr bwMode="auto">
          <a:xfrm>
            <a:off x="10711" y="11363"/>
            <a:ext cx="0" cy="1335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13" name="AutoShape 29"/>
          <xdr:cNvCxnSpPr>
            <a:cxnSpLocks noChangeShapeType="1"/>
          </xdr:cNvCxnSpPr>
        </xdr:nvCxnSpPr>
        <xdr:spPr bwMode="auto">
          <a:xfrm>
            <a:off x="10440" y="11918"/>
            <a:ext cx="270" cy="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14" name="AutoShape 30"/>
          <xdr:cNvCxnSpPr>
            <a:cxnSpLocks noChangeShapeType="1"/>
          </xdr:cNvCxnSpPr>
        </xdr:nvCxnSpPr>
        <xdr:spPr bwMode="auto">
          <a:xfrm>
            <a:off x="10440" y="12698"/>
            <a:ext cx="270" cy="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15" name="AutoShape 31"/>
          <xdr:cNvCxnSpPr>
            <a:cxnSpLocks noChangeShapeType="1"/>
          </xdr:cNvCxnSpPr>
        </xdr:nvCxnSpPr>
        <xdr:spPr bwMode="auto">
          <a:xfrm>
            <a:off x="9645" y="11408"/>
            <a:ext cx="1065" cy="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16" name="AutoShape 32"/>
          <xdr:cNvCxnSpPr>
            <a:cxnSpLocks noChangeShapeType="1"/>
          </xdr:cNvCxnSpPr>
        </xdr:nvCxnSpPr>
        <xdr:spPr bwMode="auto">
          <a:xfrm>
            <a:off x="9645" y="11228"/>
            <a:ext cx="0" cy="165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17" name="AutoShape 33"/>
          <xdr:cNvCxnSpPr>
            <a:cxnSpLocks noChangeShapeType="1"/>
          </xdr:cNvCxnSpPr>
        </xdr:nvCxnSpPr>
        <xdr:spPr bwMode="auto">
          <a:xfrm>
            <a:off x="3675" y="11408"/>
            <a:ext cx="1141" cy="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18" name="AutoShape 34"/>
          <xdr:cNvCxnSpPr>
            <a:cxnSpLocks noChangeShapeType="1"/>
          </xdr:cNvCxnSpPr>
        </xdr:nvCxnSpPr>
        <xdr:spPr bwMode="auto">
          <a:xfrm flipV="1">
            <a:off x="4816" y="11168"/>
            <a:ext cx="2" cy="24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19" name="AutoShape 35"/>
          <xdr:cNvCxnSpPr>
            <a:cxnSpLocks noChangeShapeType="1"/>
          </xdr:cNvCxnSpPr>
        </xdr:nvCxnSpPr>
        <xdr:spPr bwMode="auto">
          <a:xfrm>
            <a:off x="1381" y="11468"/>
            <a:ext cx="0" cy="129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20" name="AutoShape 36"/>
          <xdr:cNvCxnSpPr>
            <a:cxnSpLocks noChangeShapeType="1"/>
          </xdr:cNvCxnSpPr>
        </xdr:nvCxnSpPr>
        <xdr:spPr bwMode="auto">
          <a:xfrm>
            <a:off x="1380" y="11948"/>
            <a:ext cx="270" cy="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21" name="AutoShape 37"/>
          <xdr:cNvCxnSpPr>
            <a:cxnSpLocks noChangeShapeType="1"/>
          </xdr:cNvCxnSpPr>
        </xdr:nvCxnSpPr>
        <xdr:spPr bwMode="auto">
          <a:xfrm>
            <a:off x="1380" y="12773"/>
            <a:ext cx="300" cy="1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22" name="AutoShape 38"/>
          <xdr:cNvCxnSpPr>
            <a:cxnSpLocks noChangeShapeType="1"/>
          </xdr:cNvCxnSpPr>
        </xdr:nvCxnSpPr>
        <xdr:spPr bwMode="auto">
          <a:xfrm>
            <a:off x="1380" y="11468"/>
            <a:ext cx="1141" cy="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23" name="AutoShape 39"/>
          <xdr:cNvCxnSpPr>
            <a:cxnSpLocks noChangeShapeType="1"/>
          </xdr:cNvCxnSpPr>
        </xdr:nvCxnSpPr>
        <xdr:spPr bwMode="auto">
          <a:xfrm flipV="1">
            <a:off x="2521" y="11228"/>
            <a:ext cx="2" cy="24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16424" name="AutoShape 40"/>
          <xdr:cNvCxnSpPr>
            <a:cxnSpLocks noChangeShapeType="1"/>
          </xdr:cNvCxnSpPr>
        </xdr:nvCxnSpPr>
        <xdr:spPr bwMode="auto">
          <a:xfrm flipV="1">
            <a:off x="2523" y="10208"/>
            <a:ext cx="1" cy="390"/>
          </a:xfrm>
          <a:prstGeom prst="straightConnector1">
            <a:avLst/>
          </a:prstGeom>
          <a:ln>
            <a:headEnd/>
            <a:tailEnd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0</xdr:colOff>
      <xdr:row>0</xdr:row>
      <xdr:rowOff>0</xdr:rowOff>
    </xdr:from>
    <xdr:to>
      <xdr:col>10</xdr:col>
      <xdr:colOff>161925</xdr:colOff>
      <xdr:row>2</xdr:row>
      <xdr:rowOff>133350</xdr:rowOff>
    </xdr:to>
    <xdr:sp macro="" textlink="">
      <xdr:nvSpPr>
        <xdr:cNvPr id="42" name="41 Rectángulo redondeado">
          <a:hlinkClick xmlns:r="http://schemas.openxmlformats.org/officeDocument/2006/relationships" r:id="rId1"/>
        </xdr:cNvPr>
        <xdr:cNvSpPr/>
      </xdr:nvSpPr>
      <xdr:spPr>
        <a:xfrm>
          <a:off x="6858000" y="0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923925</xdr:colOff>
      <xdr:row>3</xdr:row>
      <xdr:rowOff>19050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6724650" y="171450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161925</xdr:colOff>
      <xdr:row>4</xdr:row>
      <xdr:rowOff>9525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5581650" y="352425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76200</xdr:colOff>
      <xdr:row>3</xdr:row>
      <xdr:rowOff>47625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5600700" y="0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57150</xdr:rowOff>
    </xdr:from>
    <xdr:to>
      <xdr:col>3</xdr:col>
      <xdr:colOff>723900</xdr:colOff>
      <xdr:row>5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47650"/>
          <a:ext cx="21717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16</xdr:col>
      <xdr:colOff>161925</xdr:colOff>
      <xdr:row>4</xdr:row>
      <xdr:rowOff>57150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6743700" y="0"/>
          <a:ext cx="923925" cy="552450"/>
        </a:xfrm>
        <a:prstGeom prst="round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lackTie">
  <a:themeElements>
    <a:clrScheme name="BlackTie">
      <a:dk1>
        <a:srgbClr val="000000"/>
      </a:dk1>
      <a:lt1>
        <a:srgbClr val="FFFFFF"/>
      </a:lt1>
      <a:dk2>
        <a:srgbClr val="46464A"/>
      </a:dk2>
      <a:lt2>
        <a:srgbClr val="E3DCCF"/>
      </a:lt2>
      <a:accent1>
        <a:srgbClr val="6F6F74"/>
      </a:accent1>
      <a:accent2>
        <a:srgbClr val="A7B789"/>
      </a:accent2>
      <a:accent3>
        <a:srgbClr val="BEAE98"/>
      </a:accent3>
      <a:accent4>
        <a:srgbClr val="92A9B9"/>
      </a:accent4>
      <a:accent5>
        <a:srgbClr val="9C8265"/>
      </a:accent5>
      <a:accent6>
        <a:srgbClr val="8D6974"/>
      </a:accent6>
      <a:hlink>
        <a:srgbClr val="67AABF"/>
      </a:hlink>
      <a:folHlink>
        <a:srgbClr val="B1B5AB"/>
      </a:folHlink>
    </a:clrScheme>
    <a:fontScheme name="BlackTie">
      <a:majorFont>
        <a:latin typeface="Garamond"/>
        <a:ea typeface=""/>
        <a:cs typeface=""/>
        <a:font script="Grek" typeface="Constantia"/>
        <a:font script="Cyrl" typeface="Constantia"/>
        <a:font script="Jpan" typeface="ＭＳ Ｐ明朝"/>
        <a:font script="Hang" typeface="궁서"/>
        <a:font script="Hans" typeface="仿宋"/>
        <a:font script="Hant" typeface="標楷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aramond"/>
        <a:ea typeface=""/>
        <a:cs typeface=""/>
        <a:font script="Grek" typeface="Constantia"/>
        <a:font script="Cyrl" typeface="Constantia"/>
        <a:font script="Jpan" typeface="ＭＳ Ｐ明朝"/>
        <a:font script="Hang" typeface="궁서"/>
        <a:font script="Hans" typeface="仿宋"/>
        <a:font script="Hant" typeface="標楷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BlackTie">
      <a:fillStyleLst>
        <a:solidFill>
          <a:schemeClr val="phClr"/>
        </a:solidFill>
        <a:gradFill rotWithShape="1">
          <a:gsLst>
            <a:gs pos="0">
              <a:schemeClr val="phClr">
                <a:tint val="45000"/>
                <a:satMod val="220000"/>
              </a:schemeClr>
            </a:gs>
            <a:gs pos="30000">
              <a:schemeClr val="phClr">
                <a:tint val="61000"/>
                <a:satMod val="220000"/>
              </a:schemeClr>
            </a:gs>
            <a:gs pos="45000">
              <a:schemeClr val="phClr">
                <a:tint val="66000"/>
                <a:satMod val="240000"/>
              </a:schemeClr>
            </a:gs>
            <a:gs pos="55000">
              <a:schemeClr val="phClr">
                <a:tint val="66000"/>
                <a:satMod val="220000"/>
              </a:schemeClr>
            </a:gs>
            <a:gs pos="73000">
              <a:schemeClr val="phClr">
                <a:tint val="61000"/>
                <a:satMod val="220000"/>
              </a:schemeClr>
            </a:gs>
            <a:gs pos="100000">
              <a:schemeClr val="phClr">
                <a:tint val="45000"/>
                <a:satMod val="220000"/>
              </a:schemeClr>
            </a:gs>
          </a:gsLst>
          <a:lin ang="950000" scaled="1"/>
        </a:gradFill>
        <a:gradFill rotWithShape="1">
          <a:gsLst>
            <a:gs pos="0">
              <a:schemeClr val="phClr">
                <a:shade val="63000"/>
                <a:satMod val="110000"/>
              </a:schemeClr>
            </a:gs>
            <a:gs pos="30000">
              <a:schemeClr val="phClr">
                <a:shade val="90000"/>
                <a:satMod val="120000"/>
              </a:schemeClr>
            </a:gs>
            <a:gs pos="45000">
              <a:schemeClr val="phClr">
                <a:shade val="100000"/>
                <a:satMod val="128000"/>
              </a:schemeClr>
            </a:gs>
            <a:gs pos="55000">
              <a:schemeClr val="phClr">
                <a:shade val="100000"/>
                <a:satMod val="128000"/>
              </a:schemeClr>
            </a:gs>
            <a:gs pos="73000">
              <a:schemeClr val="phClr">
                <a:shade val="90000"/>
                <a:satMod val="120000"/>
              </a:schemeClr>
            </a:gs>
            <a:gs pos="100000">
              <a:schemeClr val="phClr">
                <a:shade val="63000"/>
                <a:satMod val="110000"/>
              </a:schemeClr>
            </a:gs>
          </a:gsLst>
          <a:lin ang="950000" scaled="1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53975" cap="flat" cmpd="dbl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50800" dist="41909" dir="5400000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57150" dist="38100" dir="5400000" algn="br" rotWithShape="0">
              <a:srgbClr val="000000">
                <a:alpha val="57000"/>
              </a:srgbClr>
            </a:outerShdw>
          </a:effectLst>
          <a:scene3d>
            <a:camera prst="orthographicFront">
              <a:rot lat="0" lon="0" rev="0"/>
            </a:camera>
            <a:lightRig rig="twoPt" dir="t">
              <a:rot lat="0" lon="0" rev="1800000"/>
            </a:lightRig>
          </a:scene3d>
          <a:sp3d>
            <a:bevelT w="44450" h="31750" prst="coolSlant"/>
          </a:sp3d>
        </a:effectStyle>
      </a:effectStyleLst>
      <a:bg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</a:schemeClr>
              <a:schemeClr val="phClr">
                <a:shade val="20000"/>
              </a:schemeClr>
            </a:duotone>
          </a:blip>
          <a:stretch/>
        </a:blip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30000"/>
                <a:satMod val="255000"/>
              </a:schemeClr>
            </a:gs>
          </a:gsLst>
          <a:path path="circle">
            <a:fillToRect l="50000" t="-80000" r="50000" b="18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P13"/>
  <sheetViews>
    <sheetView showGridLines="0" workbookViewId="0">
      <selection activeCell="G10" sqref="G10"/>
    </sheetView>
  </sheetViews>
  <sheetFormatPr baseColWidth="10" defaultRowHeight="20.25"/>
  <cols>
    <col min="1" max="2" width="11.42578125" style="24" customWidth="1"/>
    <col min="3" max="3" width="23.7109375" style="24" customWidth="1"/>
    <col min="4" max="4" width="13" style="24" customWidth="1"/>
    <col min="5" max="5" width="4.5703125" style="24" customWidth="1"/>
    <col min="6" max="8" width="11.42578125" style="24"/>
    <col min="9" max="9" width="14" style="24" customWidth="1"/>
    <col min="10" max="16384" width="11.42578125" style="24"/>
  </cols>
  <sheetData>
    <row r="2" spans="5:16"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</row>
    <row r="4" spans="5:16" ht="28.5" customHeight="1">
      <c r="E4" s="84">
        <v>1</v>
      </c>
      <c r="F4" s="84" t="s">
        <v>160</v>
      </c>
      <c r="J4" s="84">
        <v>10</v>
      </c>
      <c r="K4" s="84" t="s">
        <v>308</v>
      </c>
      <c r="L4" s="84"/>
      <c r="M4" s="84"/>
      <c r="N4" s="84"/>
      <c r="O4" s="84"/>
      <c r="P4" s="84"/>
    </row>
    <row r="5" spans="5:16" ht="28.5" customHeight="1">
      <c r="E5" s="84">
        <v>2</v>
      </c>
      <c r="F5" s="84" t="s">
        <v>316</v>
      </c>
      <c r="J5" s="84">
        <v>11</v>
      </c>
      <c r="K5" s="84" t="s">
        <v>82</v>
      </c>
      <c r="L5" s="84"/>
      <c r="M5" s="84"/>
      <c r="N5" s="84"/>
      <c r="O5" s="84"/>
      <c r="P5" s="84"/>
    </row>
    <row r="6" spans="5:16" ht="28.5" customHeight="1">
      <c r="E6" s="84">
        <v>3</v>
      </c>
      <c r="F6" s="84" t="s">
        <v>317</v>
      </c>
      <c r="G6" s="84"/>
      <c r="H6" s="84"/>
      <c r="I6" s="84"/>
      <c r="J6" s="84">
        <v>12</v>
      </c>
      <c r="K6" s="84" t="s">
        <v>309</v>
      </c>
      <c r="L6" s="84"/>
      <c r="M6" s="84"/>
      <c r="N6" s="84"/>
      <c r="O6" s="84"/>
      <c r="P6" s="84"/>
    </row>
    <row r="7" spans="5:16" ht="28.5" customHeight="1">
      <c r="E7" s="84">
        <v>4</v>
      </c>
      <c r="F7" s="84" t="s">
        <v>303</v>
      </c>
      <c r="G7" s="84"/>
      <c r="H7" s="84"/>
      <c r="I7" s="84"/>
      <c r="J7" s="84">
        <v>13</v>
      </c>
      <c r="K7" s="84" t="s">
        <v>310</v>
      </c>
      <c r="L7" s="84"/>
    </row>
    <row r="8" spans="5:16" ht="28.5" customHeight="1">
      <c r="E8" s="84">
        <v>5</v>
      </c>
      <c r="F8" s="84" t="s">
        <v>304</v>
      </c>
      <c r="G8" s="84"/>
      <c r="H8" s="84"/>
      <c r="I8" s="84"/>
      <c r="J8" s="84">
        <v>14</v>
      </c>
      <c r="K8" s="84" t="s">
        <v>311</v>
      </c>
      <c r="L8" s="84"/>
    </row>
    <row r="9" spans="5:16" ht="28.5" customHeight="1">
      <c r="E9" s="84">
        <v>6</v>
      </c>
      <c r="F9" s="84" t="s">
        <v>314</v>
      </c>
      <c r="G9" s="84"/>
      <c r="H9" s="84"/>
      <c r="I9" s="84"/>
      <c r="J9" s="84">
        <v>15</v>
      </c>
      <c r="K9" s="84" t="s">
        <v>315</v>
      </c>
      <c r="L9" s="84"/>
    </row>
    <row r="10" spans="5:16" ht="28.5" customHeight="1">
      <c r="E10" s="84">
        <v>7</v>
      </c>
      <c r="F10" s="84" t="s">
        <v>305</v>
      </c>
      <c r="G10" s="84"/>
      <c r="H10" s="84"/>
      <c r="I10" s="84"/>
      <c r="J10" s="84">
        <v>16</v>
      </c>
      <c r="K10" s="84" t="s">
        <v>141</v>
      </c>
      <c r="L10" s="84"/>
    </row>
    <row r="11" spans="5:16" ht="28.5" customHeight="1">
      <c r="E11" s="84">
        <v>8</v>
      </c>
      <c r="F11" s="84" t="s">
        <v>306</v>
      </c>
      <c r="G11" s="84"/>
      <c r="H11" s="84"/>
      <c r="I11" s="84"/>
      <c r="J11" s="84">
        <v>17</v>
      </c>
      <c r="K11" s="84" t="s">
        <v>312</v>
      </c>
      <c r="L11" s="84"/>
    </row>
    <row r="12" spans="5:16" ht="28.5" customHeight="1">
      <c r="E12" s="84">
        <v>9</v>
      </c>
      <c r="F12" s="84" t="s">
        <v>307</v>
      </c>
      <c r="G12" s="84"/>
      <c r="H12" s="84"/>
      <c r="I12" s="84"/>
      <c r="J12" s="84">
        <v>18</v>
      </c>
      <c r="K12" s="84" t="s">
        <v>313</v>
      </c>
      <c r="L12" s="84"/>
    </row>
    <row r="13" spans="5:16">
      <c r="F13" s="84"/>
      <c r="G13" s="84"/>
      <c r="H13" s="84"/>
      <c r="I13" s="84"/>
      <c r="J13" s="84"/>
      <c r="K13" s="84"/>
      <c r="L13" s="84"/>
    </row>
  </sheetData>
  <mergeCells count="1">
    <mergeCell ref="E2:P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3"/>
  <sheetViews>
    <sheetView showGridLines="0" topLeftCell="A3" workbookViewId="0">
      <selection activeCell="B21" sqref="B21"/>
    </sheetView>
  </sheetViews>
  <sheetFormatPr baseColWidth="10" defaultRowHeight="12.75"/>
  <cols>
    <col min="1" max="1" width="16.85546875" style="9" customWidth="1"/>
    <col min="2" max="2" width="9.140625" style="9" customWidth="1"/>
    <col min="3" max="3" width="9.42578125" style="9" customWidth="1"/>
    <col min="4" max="4" width="5.140625" style="9" customWidth="1"/>
    <col min="5" max="5" width="8.28515625" style="9" customWidth="1"/>
    <col min="6" max="6" width="8.5703125" style="9" customWidth="1"/>
    <col min="7" max="7" width="8.85546875" style="9" customWidth="1"/>
    <col min="8" max="8" width="10.28515625" style="9" customWidth="1"/>
    <col min="9" max="9" width="9.85546875" style="9" customWidth="1"/>
    <col min="10" max="10" width="8.42578125" style="9" customWidth="1"/>
    <col min="11" max="11" width="9.5703125" style="9" customWidth="1"/>
    <col min="12" max="12" width="13.42578125" style="9" customWidth="1"/>
    <col min="13" max="13" width="11.5703125" style="9" customWidth="1"/>
    <col min="14" max="14" width="9.85546875" style="9" customWidth="1"/>
    <col min="15" max="16384" width="11.42578125" style="9"/>
  </cols>
  <sheetData>
    <row r="1" spans="1:3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</row>
    <row r="2" spans="1:35">
      <c r="A2" s="510" t="s">
        <v>85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</row>
    <row r="3" spans="1:35">
      <c r="A3" s="220"/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</row>
    <row r="4" spans="1:35" ht="38.25">
      <c r="A4" s="53"/>
      <c r="B4" s="53"/>
      <c r="C4" s="53"/>
      <c r="D4" s="48" t="s">
        <v>387</v>
      </c>
      <c r="E4" s="49" t="s">
        <v>388</v>
      </c>
      <c r="F4" s="48" t="s">
        <v>389</v>
      </c>
      <c r="G4" s="49" t="s">
        <v>390</v>
      </c>
      <c r="H4" s="53"/>
      <c r="I4" s="53"/>
      <c r="J4" s="52" t="s">
        <v>95</v>
      </c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</row>
    <row r="5" spans="1:35" ht="22.5">
      <c r="A5" s="413" t="s">
        <v>91</v>
      </c>
      <c r="B5" s="413" t="s">
        <v>21</v>
      </c>
      <c r="C5" s="411" t="s">
        <v>92</v>
      </c>
      <c r="D5" s="50">
        <v>0.12</v>
      </c>
      <c r="E5" s="50">
        <v>0.1</v>
      </c>
      <c r="F5" s="51">
        <v>1.6E-2</v>
      </c>
      <c r="G5" s="51">
        <v>1.1900000000000001E-2</v>
      </c>
      <c r="H5" s="411" t="s">
        <v>391</v>
      </c>
      <c r="I5" s="412" t="s">
        <v>392</v>
      </c>
      <c r="J5" s="50">
        <v>0.09</v>
      </c>
      <c r="K5" s="411" t="s">
        <v>247</v>
      </c>
      <c r="L5" s="412" t="s">
        <v>417</v>
      </c>
      <c r="M5" s="412" t="s">
        <v>394</v>
      </c>
      <c r="N5" s="411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</row>
    <row r="6" spans="1:35">
      <c r="A6" s="116" t="s">
        <v>358</v>
      </c>
      <c r="B6" s="221">
        <v>1</v>
      </c>
      <c r="C6" s="114">
        <v>1500</v>
      </c>
      <c r="D6" s="222"/>
      <c r="E6" s="223">
        <f>+C6*$E$5</f>
        <v>150</v>
      </c>
      <c r="F6" s="223">
        <f>C6*$F$5</f>
        <v>24</v>
      </c>
      <c r="G6" s="223">
        <f>C6*$G$5</f>
        <v>17.850000000000001</v>
      </c>
      <c r="H6" s="223">
        <f>SUM(D6:G6)*B6</f>
        <v>191.85</v>
      </c>
      <c r="I6" s="223">
        <f>(C6*B6)-H6</f>
        <v>1308.1500000000001</v>
      </c>
      <c r="J6" s="222">
        <f>(C6*B6)*$J$5</f>
        <v>135</v>
      </c>
      <c r="K6" s="224">
        <f>(C6*B6)+J6</f>
        <v>1635</v>
      </c>
      <c r="L6" s="225">
        <f>B6*C6</f>
        <v>1500</v>
      </c>
      <c r="M6" s="226">
        <v>1</v>
      </c>
      <c r="N6" s="114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</row>
    <row r="7" spans="1:35">
      <c r="A7" s="116" t="s">
        <v>346</v>
      </c>
      <c r="B7" s="221">
        <v>1</v>
      </c>
      <c r="C7" s="114">
        <v>1000</v>
      </c>
      <c r="D7" s="222"/>
      <c r="E7" s="223">
        <f t="shared" ref="E7:E9" si="0">+C7*$E$5</f>
        <v>100</v>
      </c>
      <c r="F7" s="223">
        <f t="shared" ref="F7:F9" si="1">C7*$F$5</f>
        <v>16</v>
      </c>
      <c r="G7" s="223">
        <f t="shared" ref="G7:G9" si="2">C7*$G$5</f>
        <v>11.9</v>
      </c>
      <c r="H7" s="223">
        <f t="shared" ref="H7:H9" si="3">SUM(D7:G7)*B7</f>
        <v>127.9</v>
      </c>
      <c r="I7" s="223">
        <f t="shared" ref="I7:I9" si="4">(C7*B7)-H7</f>
        <v>872.1</v>
      </c>
      <c r="J7" s="222">
        <f t="shared" ref="J7:J9" si="5">(C7*B7)*$J$5</f>
        <v>90</v>
      </c>
      <c r="K7" s="224">
        <f t="shared" ref="K7:K9" si="6">(C7*B7)+J7</f>
        <v>1090</v>
      </c>
      <c r="L7" s="225">
        <f t="shared" ref="L7:L9" si="7">B7*C7</f>
        <v>1000</v>
      </c>
      <c r="M7" s="226">
        <v>1</v>
      </c>
      <c r="N7" s="114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</row>
    <row r="8" spans="1:35">
      <c r="A8" s="117" t="s">
        <v>337</v>
      </c>
      <c r="B8" s="222">
        <v>1</v>
      </c>
      <c r="C8" s="118">
        <v>850</v>
      </c>
      <c r="D8" s="222"/>
      <c r="E8" s="223">
        <f t="shared" si="0"/>
        <v>85</v>
      </c>
      <c r="F8" s="223">
        <f t="shared" si="1"/>
        <v>13.6</v>
      </c>
      <c r="G8" s="223">
        <f t="shared" si="2"/>
        <v>10.115</v>
      </c>
      <c r="H8" s="223">
        <f t="shared" si="3"/>
        <v>108.71499999999999</v>
      </c>
      <c r="I8" s="223">
        <f t="shared" si="4"/>
        <v>741.28499999999997</v>
      </c>
      <c r="J8" s="222">
        <f t="shared" si="5"/>
        <v>76.5</v>
      </c>
      <c r="K8" s="224">
        <f t="shared" si="6"/>
        <v>926.5</v>
      </c>
      <c r="L8" s="225">
        <f t="shared" si="7"/>
        <v>850</v>
      </c>
      <c r="M8" s="226">
        <v>1</v>
      </c>
      <c r="N8" s="114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</row>
    <row r="9" spans="1:35">
      <c r="A9" s="116" t="s">
        <v>338</v>
      </c>
      <c r="B9" s="221">
        <v>1</v>
      </c>
      <c r="C9" s="114">
        <v>850</v>
      </c>
      <c r="D9" s="222"/>
      <c r="E9" s="223">
        <f t="shared" si="0"/>
        <v>85</v>
      </c>
      <c r="F9" s="223">
        <f t="shared" si="1"/>
        <v>13.6</v>
      </c>
      <c r="G9" s="223">
        <f t="shared" si="2"/>
        <v>10.115</v>
      </c>
      <c r="H9" s="223">
        <f t="shared" si="3"/>
        <v>108.71499999999999</v>
      </c>
      <c r="I9" s="223">
        <f t="shared" si="4"/>
        <v>741.28499999999997</v>
      </c>
      <c r="J9" s="222">
        <f t="shared" si="5"/>
        <v>76.5</v>
      </c>
      <c r="K9" s="224">
        <f t="shared" si="6"/>
        <v>926.5</v>
      </c>
      <c r="L9" s="225">
        <f t="shared" si="7"/>
        <v>850</v>
      </c>
      <c r="M9" s="226">
        <v>1</v>
      </c>
      <c r="N9" s="114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</row>
    <row r="10" spans="1:35">
      <c r="A10" s="227" t="s">
        <v>96</v>
      </c>
      <c r="B10" s="227"/>
      <c r="C10" s="228">
        <f>SUM(C6:C9)</f>
        <v>4200</v>
      </c>
      <c r="D10" s="228"/>
      <c r="E10" s="228">
        <f t="shared" ref="E10:K10" si="8">SUM(E6:E9)</f>
        <v>420</v>
      </c>
      <c r="F10" s="228">
        <f t="shared" si="8"/>
        <v>67.2</v>
      </c>
      <c r="G10" s="228">
        <f t="shared" si="8"/>
        <v>49.980000000000004</v>
      </c>
      <c r="H10" s="228">
        <f t="shared" si="8"/>
        <v>537.17999999999995</v>
      </c>
      <c r="I10" s="228">
        <f t="shared" si="8"/>
        <v>3662.8199999999997</v>
      </c>
      <c r="J10" s="228">
        <f t="shared" si="8"/>
        <v>378</v>
      </c>
      <c r="K10" s="228">
        <f t="shared" si="8"/>
        <v>4578</v>
      </c>
      <c r="L10" s="229"/>
      <c r="M10" s="230"/>
      <c r="N10" s="228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</row>
    <row r="11" spans="1:35">
      <c r="A11" s="414" t="s">
        <v>97</v>
      </c>
      <c r="B11" s="415" t="s">
        <v>43</v>
      </c>
      <c r="C11" s="416"/>
      <c r="D11" s="416"/>
      <c r="E11" s="416"/>
      <c r="F11" s="416"/>
      <c r="G11" s="416"/>
      <c r="H11" s="416"/>
      <c r="I11" s="416"/>
      <c r="J11" s="53"/>
      <c r="K11" s="53"/>
      <c r="L11" s="53"/>
      <c r="M11" s="231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</row>
    <row r="12" spans="1:35">
      <c r="A12" s="232" t="s">
        <v>94</v>
      </c>
      <c r="B12" s="233"/>
      <c r="C12" s="234"/>
      <c r="D12" s="234"/>
      <c r="E12" s="234"/>
      <c r="F12" s="234"/>
      <c r="G12" s="234"/>
      <c r="H12" s="234"/>
      <c r="I12" s="234"/>
      <c r="J12" s="53"/>
      <c r="K12" s="53"/>
      <c r="L12" s="53"/>
      <c r="M12" s="231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</row>
    <row r="13" spans="1:35">
      <c r="A13" s="232" t="s">
        <v>95</v>
      </c>
      <c r="B13" s="233">
        <v>0.09</v>
      </c>
      <c r="C13" s="234"/>
      <c r="D13" s="234"/>
      <c r="E13" s="234"/>
      <c r="F13" s="234"/>
      <c r="G13" s="234"/>
      <c r="H13" s="234"/>
      <c r="I13" s="234"/>
      <c r="J13" s="53"/>
      <c r="K13" s="53"/>
      <c r="L13" s="53"/>
      <c r="M13" s="231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</row>
    <row r="14" spans="1:35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</row>
    <row r="15" spans="1:35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</row>
    <row r="16" spans="1:35">
      <c r="A16" s="511" t="s">
        <v>184</v>
      </c>
      <c r="B16" s="511"/>
      <c r="C16" s="511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</row>
    <row r="17" spans="1:35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</row>
    <row r="18" spans="1:35" ht="33.75">
      <c r="A18" s="420" t="s">
        <v>91</v>
      </c>
      <c r="B18" s="420" t="s">
        <v>21</v>
      </c>
      <c r="C18" s="421" t="s">
        <v>92</v>
      </c>
      <c r="D18" s="422"/>
      <c r="E18" s="422"/>
      <c r="F18" s="422"/>
      <c r="G18" s="422"/>
      <c r="H18" s="421" t="s">
        <v>391</v>
      </c>
      <c r="I18" s="423" t="s">
        <v>392</v>
      </c>
      <c r="J18" s="421"/>
      <c r="K18" s="421" t="s">
        <v>393</v>
      </c>
      <c r="L18" s="423"/>
      <c r="M18" s="423"/>
      <c r="N18" s="421" t="s">
        <v>93</v>
      </c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</row>
    <row r="19" spans="1:35">
      <c r="A19" s="116" t="s">
        <v>193</v>
      </c>
      <c r="B19" s="221">
        <v>1</v>
      </c>
      <c r="C19" s="118">
        <v>1800</v>
      </c>
      <c r="D19" s="222"/>
      <c r="E19" s="223">
        <f>C19*$E$5</f>
        <v>180</v>
      </c>
      <c r="F19" s="223">
        <f>C19*$F$5</f>
        <v>28.8</v>
      </c>
      <c r="G19" s="223">
        <f>C19*$G$5</f>
        <v>21.42</v>
      </c>
      <c r="H19" s="223">
        <f>SUM(E19:G19)*B19</f>
        <v>230.22000000000003</v>
      </c>
      <c r="I19" s="223">
        <f>(C19*B19)-H19</f>
        <v>1569.78</v>
      </c>
      <c r="J19" s="224">
        <f>(C19*B19)*$J$5</f>
        <v>162</v>
      </c>
      <c r="K19" s="224">
        <f>(C19*B19)+J19</f>
        <v>1962</v>
      </c>
      <c r="L19" s="225"/>
      <c r="M19" s="225"/>
      <c r="N19" s="114">
        <f>K19</f>
        <v>1962</v>
      </c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</row>
    <row r="20" spans="1:35">
      <c r="A20" s="116" t="s">
        <v>336</v>
      </c>
      <c r="B20" s="222">
        <v>1</v>
      </c>
      <c r="C20" s="118">
        <v>900</v>
      </c>
      <c r="D20" s="222"/>
      <c r="E20" s="223">
        <f t="shared" ref="E20:E21" si="9">C20*$E$5</f>
        <v>90</v>
      </c>
      <c r="F20" s="223">
        <f t="shared" ref="F20:F21" si="10">C20*$F$5</f>
        <v>14.4</v>
      </c>
      <c r="G20" s="223">
        <f t="shared" ref="G20:G21" si="11">C20*$G$5</f>
        <v>10.71</v>
      </c>
      <c r="H20" s="223">
        <f t="shared" ref="H20:H21" si="12">SUM(E20:G20)*B20</f>
        <v>115.11000000000001</v>
      </c>
      <c r="I20" s="223">
        <f t="shared" ref="I20:I21" si="13">(C20*B20)-H20</f>
        <v>784.89</v>
      </c>
      <c r="J20" s="224">
        <f>(C20*B20)*$J$5</f>
        <v>81</v>
      </c>
      <c r="K20" s="224">
        <f t="shared" ref="K20:K21" si="14">(C20*B20)+J20</f>
        <v>981</v>
      </c>
      <c r="L20" s="225"/>
      <c r="M20" s="225"/>
      <c r="N20" s="114">
        <f>K20</f>
        <v>981</v>
      </c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</row>
    <row r="21" spans="1:35">
      <c r="A21" s="117" t="s">
        <v>339</v>
      </c>
      <c r="B21" s="221">
        <v>1</v>
      </c>
      <c r="C21" s="114">
        <v>850</v>
      </c>
      <c r="D21" s="222"/>
      <c r="E21" s="223">
        <f t="shared" si="9"/>
        <v>85</v>
      </c>
      <c r="F21" s="223">
        <f t="shared" si="10"/>
        <v>13.6</v>
      </c>
      <c r="G21" s="223">
        <f t="shared" si="11"/>
        <v>10.115</v>
      </c>
      <c r="H21" s="223">
        <f t="shared" si="12"/>
        <v>108.71499999999999</v>
      </c>
      <c r="I21" s="223">
        <f t="shared" si="13"/>
        <v>741.28499999999997</v>
      </c>
      <c r="J21" s="224">
        <f>(C21*B21)*$J$5</f>
        <v>76.5</v>
      </c>
      <c r="K21" s="224">
        <f t="shared" si="14"/>
        <v>926.5</v>
      </c>
      <c r="L21" s="225"/>
      <c r="M21" s="225"/>
      <c r="N21" s="114">
        <f>K21</f>
        <v>926.5</v>
      </c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</row>
    <row r="22" spans="1:35">
      <c r="A22" s="227" t="s">
        <v>96</v>
      </c>
      <c r="B22" s="227"/>
      <c r="C22" s="228">
        <f>SUM(C19:C21)</f>
        <v>3550</v>
      </c>
      <c r="D22" s="228"/>
      <c r="E22" s="228">
        <f t="shared" ref="E22:I22" si="15">SUM(E19:E21)</f>
        <v>355</v>
      </c>
      <c r="F22" s="228">
        <f t="shared" si="15"/>
        <v>56.800000000000004</v>
      </c>
      <c r="G22" s="228">
        <f t="shared" si="15"/>
        <v>42.245000000000005</v>
      </c>
      <c r="H22" s="228">
        <f t="shared" si="15"/>
        <v>454.04500000000002</v>
      </c>
      <c r="I22" s="228">
        <f t="shared" si="15"/>
        <v>3095.9549999999999</v>
      </c>
      <c r="J22" s="228">
        <f t="shared" ref="J22" si="16">SUM(J19:J21)</f>
        <v>319.5</v>
      </c>
      <c r="K22" s="228">
        <f t="shared" ref="K22" si="17">SUM(K19:K21)</f>
        <v>3869.5</v>
      </c>
      <c r="L22" s="229"/>
      <c r="M22" s="229"/>
      <c r="N22" s="228">
        <f>SUM(N19:N21)</f>
        <v>3869.5</v>
      </c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</row>
    <row r="23" spans="1:35">
      <c r="A23" s="417" t="s">
        <v>97</v>
      </c>
      <c r="B23" s="418" t="s">
        <v>43</v>
      </c>
      <c r="C23" s="419"/>
      <c r="D23" s="419"/>
      <c r="E23" s="419"/>
      <c r="F23" s="419"/>
      <c r="G23" s="419"/>
      <c r="H23" s="419"/>
      <c r="I23" s="419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</row>
    <row r="24" spans="1:35">
      <c r="A24" s="232" t="s">
        <v>94</v>
      </c>
      <c r="B24" s="233"/>
      <c r="C24" s="234"/>
      <c r="D24" s="234"/>
      <c r="E24" s="234"/>
      <c r="F24" s="234"/>
      <c r="G24" s="234"/>
      <c r="H24" s="234"/>
      <c r="I24" s="234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</row>
    <row r="25" spans="1:35">
      <c r="A25" s="232" t="s">
        <v>95</v>
      </c>
      <c r="B25" s="233">
        <v>0.09</v>
      </c>
      <c r="C25" s="234"/>
      <c r="D25" s="234"/>
      <c r="E25" s="234"/>
      <c r="F25" s="234"/>
      <c r="G25" s="234"/>
      <c r="H25" s="234"/>
      <c r="I25" s="234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</row>
    <row r="26" spans="1:35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</row>
    <row r="27" spans="1:35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</row>
    <row r="28" spans="1:35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</row>
    <row r="29" spans="1:35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</row>
    <row r="30" spans="1:35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</row>
    <row r="31" spans="1:35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</row>
    <row r="32" spans="1:35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</row>
    <row r="33" spans="1:35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</row>
  </sheetData>
  <mergeCells count="2">
    <mergeCell ref="A2:N2"/>
    <mergeCell ref="A16:N1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showGridLines="0" zoomScale="120" zoomScaleNormal="120" workbookViewId="0">
      <selection activeCell="G17" sqref="G17"/>
    </sheetView>
  </sheetViews>
  <sheetFormatPr baseColWidth="10" defaultRowHeight="12.75"/>
  <cols>
    <col min="1" max="1" width="25" style="9" customWidth="1"/>
    <col min="2" max="16384" width="11.42578125" style="9"/>
  </cols>
  <sheetData>
    <row r="1" spans="1:6">
      <c r="A1" s="510" t="s">
        <v>359</v>
      </c>
      <c r="B1" s="510"/>
      <c r="C1" s="510"/>
      <c r="D1" s="510"/>
      <c r="E1" s="510"/>
    </row>
    <row r="2" spans="1:6">
      <c r="A2" s="53"/>
      <c r="B2" s="53"/>
      <c r="C2" s="53"/>
      <c r="D2" s="53"/>
      <c r="E2" s="53"/>
    </row>
    <row r="3" spans="1:6">
      <c r="A3" s="493" t="s">
        <v>0</v>
      </c>
      <c r="B3" s="493" t="s">
        <v>1</v>
      </c>
      <c r="C3" s="493" t="s">
        <v>23</v>
      </c>
      <c r="D3" s="493" t="s">
        <v>22</v>
      </c>
      <c r="E3" s="493" t="s">
        <v>2</v>
      </c>
    </row>
    <row r="4" spans="1:6">
      <c r="A4" s="493"/>
      <c r="B4" s="493"/>
      <c r="C4" s="493"/>
      <c r="D4" s="493"/>
      <c r="E4" s="493"/>
    </row>
    <row r="5" spans="1:6" ht="22.5">
      <c r="A5" s="159" t="s">
        <v>349</v>
      </c>
      <c r="B5" s="240"/>
      <c r="C5" s="241"/>
      <c r="D5" s="241"/>
      <c r="E5" s="239">
        <f>SUM(E6:E10)</f>
        <v>1160</v>
      </c>
    </row>
    <row r="6" spans="1:6">
      <c r="A6" s="75" t="s">
        <v>10</v>
      </c>
      <c r="B6" s="235">
        <v>600</v>
      </c>
      <c r="C6" s="221">
        <v>1</v>
      </c>
      <c r="D6" s="221"/>
      <c r="E6" s="236">
        <f t="shared" ref="E6:E9" si="0">B6*C6</f>
        <v>600</v>
      </c>
    </row>
    <row r="7" spans="1:6">
      <c r="A7" s="75" t="s">
        <v>11</v>
      </c>
      <c r="B7" s="235">
        <v>300</v>
      </c>
      <c r="C7" s="221">
        <v>1</v>
      </c>
      <c r="D7" s="221"/>
      <c r="E7" s="236">
        <v>300</v>
      </c>
    </row>
    <row r="8" spans="1:6">
      <c r="A8" s="75" t="s">
        <v>12</v>
      </c>
      <c r="B8" s="235">
        <v>50</v>
      </c>
      <c r="C8" s="221">
        <v>1</v>
      </c>
      <c r="D8" s="221"/>
      <c r="E8" s="236">
        <f t="shared" si="0"/>
        <v>50</v>
      </c>
    </row>
    <row r="9" spans="1:6">
      <c r="A9" s="75" t="s">
        <v>13</v>
      </c>
      <c r="B9" s="235">
        <v>150</v>
      </c>
      <c r="C9" s="221">
        <v>1</v>
      </c>
      <c r="D9" s="221"/>
      <c r="E9" s="236">
        <f t="shared" si="0"/>
        <v>150</v>
      </c>
    </row>
    <row r="10" spans="1:6">
      <c r="A10" s="75" t="s">
        <v>14</v>
      </c>
      <c r="B10" s="235">
        <v>60</v>
      </c>
      <c r="C10" s="221">
        <v>1</v>
      </c>
      <c r="D10" s="221"/>
      <c r="E10" s="236">
        <v>60</v>
      </c>
      <c r="F10" s="17"/>
    </row>
    <row r="11" spans="1:6">
      <c r="A11" s="159" t="s">
        <v>15</v>
      </c>
      <c r="B11" s="240"/>
      <c r="C11" s="241"/>
      <c r="D11" s="241"/>
      <c r="E11" s="239">
        <f>SUM(E12:E15)</f>
        <v>1850</v>
      </c>
    </row>
    <row r="12" spans="1:6">
      <c r="A12" s="75" t="s">
        <v>16</v>
      </c>
      <c r="B12" s="235">
        <v>200</v>
      </c>
      <c r="C12" s="221">
        <v>2</v>
      </c>
      <c r="D12" s="221" t="s">
        <v>17</v>
      </c>
      <c r="E12" s="236">
        <f>B12*C12</f>
        <v>400</v>
      </c>
    </row>
    <row r="13" spans="1:6">
      <c r="A13" s="75" t="s">
        <v>18</v>
      </c>
      <c r="B13" s="235">
        <v>20</v>
      </c>
      <c r="C13" s="221">
        <v>20</v>
      </c>
      <c r="D13" s="115" t="s">
        <v>19</v>
      </c>
      <c r="E13" s="236">
        <f>B13*C13</f>
        <v>400</v>
      </c>
    </row>
    <row r="14" spans="1:6">
      <c r="A14" s="75" t="s">
        <v>20</v>
      </c>
      <c r="B14" s="235">
        <v>80</v>
      </c>
      <c r="C14" s="221">
        <v>10</v>
      </c>
      <c r="D14" s="115" t="s">
        <v>19</v>
      </c>
      <c r="E14" s="236">
        <f>B14*C14</f>
        <v>800</v>
      </c>
      <c r="F14" s="17"/>
    </row>
    <row r="15" spans="1:6" ht="15" customHeight="1">
      <c r="A15" s="75" t="s">
        <v>340</v>
      </c>
      <c r="B15" s="235">
        <v>250</v>
      </c>
      <c r="C15" s="221">
        <v>1</v>
      </c>
      <c r="D15" s="115" t="s">
        <v>7</v>
      </c>
      <c r="E15" s="236">
        <f>B15*C15</f>
        <v>250</v>
      </c>
    </row>
    <row r="16" spans="1:6">
      <c r="A16" s="159" t="s">
        <v>348</v>
      </c>
      <c r="B16" s="237"/>
      <c r="C16" s="238"/>
      <c r="D16" s="238"/>
      <c r="E16" s="239">
        <f>SUM(E5+E11)</f>
        <v>3010</v>
      </c>
    </row>
    <row r="17" spans="1:5">
      <c r="A17" s="53"/>
      <c r="B17" s="337">
        <f>B12+B13+B14+B15</f>
        <v>550</v>
      </c>
      <c r="C17" s="53"/>
      <c r="D17" s="53"/>
      <c r="E17" s="53"/>
    </row>
    <row r="18" spans="1:5">
      <c r="A18" s="53"/>
      <c r="B18" s="53"/>
      <c r="C18" s="53"/>
      <c r="D18" s="53"/>
      <c r="E18" s="53"/>
    </row>
    <row r="19" spans="1:5">
      <c r="A19" s="53" t="s">
        <v>350</v>
      </c>
      <c r="B19" s="53"/>
      <c r="C19" s="53"/>
      <c r="D19" s="53"/>
      <c r="E19" s="53"/>
    </row>
    <row r="20" spans="1:5">
      <c r="A20" s="53" t="s">
        <v>351</v>
      </c>
      <c r="B20" s="53"/>
      <c r="C20" s="53"/>
      <c r="D20" s="53"/>
      <c r="E20" s="53"/>
    </row>
    <row r="21" spans="1:5">
      <c r="A21" s="53"/>
      <c r="B21" s="53"/>
      <c r="C21" s="53"/>
      <c r="D21" s="53"/>
      <c r="E21" s="53"/>
    </row>
    <row r="22" spans="1:5">
      <c r="A22" s="53"/>
      <c r="B22" s="53"/>
      <c r="C22" s="53"/>
      <c r="D22" s="53"/>
      <c r="E22" s="53"/>
    </row>
  </sheetData>
  <mergeCells count="6">
    <mergeCell ref="A1:E1"/>
    <mergeCell ref="A3:A4"/>
    <mergeCell ref="B3:B4"/>
    <mergeCell ref="C3:C4"/>
    <mergeCell ref="D3:D4"/>
    <mergeCell ref="E3:E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2"/>
  <sheetViews>
    <sheetView showGridLines="0" topLeftCell="A9" workbookViewId="0">
      <selection activeCell="G10" sqref="G10"/>
    </sheetView>
  </sheetViews>
  <sheetFormatPr baseColWidth="10" defaultRowHeight="15"/>
  <cols>
    <col min="1" max="1" width="6.140625" customWidth="1"/>
    <col min="2" max="2" width="25" customWidth="1"/>
    <col min="3" max="3" width="34.28515625" customWidth="1"/>
    <col min="6" max="6" width="14" customWidth="1"/>
    <col min="7" max="7" width="11.42578125" customWidth="1"/>
    <col min="8" max="8" width="15.7109375" customWidth="1"/>
  </cols>
  <sheetData>
    <row r="1" spans="1:16">
      <c r="A1" s="515" t="s">
        <v>102</v>
      </c>
      <c r="B1" s="515"/>
      <c r="C1" s="515"/>
      <c r="D1" s="515"/>
      <c r="E1" s="515"/>
      <c r="F1" s="515"/>
      <c r="G1" s="515"/>
      <c r="H1" s="515"/>
      <c r="I1" s="242"/>
      <c r="J1" s="242"/>
      <c r="K1" s="242"/>
      <c r="L1" s="242"/>
      <c r="M1" s="242"/>
      <c r="N1" s="242"/>
      <c r="O1" s="242"/>
      <c r="P1" s="242"/>
    </row>
    <row r="2" spans="1:16">
      <c r="A2" s="243"/>
      <c r="B2" s="243"/>
      <c r="C2" s="243"/>
      <c r="D2" s="243"/>
      <c r="E2" s="243"/>
      <c r="F2" s="243"/>
      <c r="G2" s="243"/>
      <c r="H2" s="243"/>
      <c r="I2" s="242"/>
      <c r="J2" s="242"/>
      <c r="K2" s="242"/>
      <c r="L2" s="242"/>
      <c r="M2" s="242"/>
      <c r="N2" s="242"/>
      <c r="O2" s="242"/>
      <c r="P2" s="242"/>
    </row>
    <row r="3" spans="1:16" ht="22.5">
      <c r="A3" s="259" t="s">
        <v>23</v>
      </c>
      <c r="B3" s="259" t="s">
        <v>22</v>
      </c>
      <c r="C3" s="259" t="s">
        <v>91</v>
      </c>
      <c r="D3" s="259" t="s">
        <v>1</v>
      </c>
      <c r="E3" s="259" t="s">
        <v>46</v>
      </c>
      <c r="F3" s="260" t="s">
        <v>395</v>
      </c>
      <c r="G3" s="259" t="s">
        <v>105</v>
      </c>
      <c r="H3" s="259" t="s">
        <v>103</v>
      </c>
      <c r="I3" s="242"/>
      <c r="J3" s="242"/>
      <c r="K3" s="242"/>
      <c r="L3" s="242"/>
      <c r="M3" s="242"/>
      <c r="N3" s="242"/>
      <c r="O3" s="242"/>
      <c r="P3" s="242"/>
    </row>
    <row r="4" spans="1:16">
      <c r="A4" s="244"/>
      <c r="B4" s="244"/>
      <c r="C4" s="245" t="s">
        <v>108</v>
      </c>
      <c r="D4" s="244"/>
      <c r="E4" s="244"/>
      <c r="F4" s="226"/>
      <c r="G4" s="244"/>
      <c r="H4" s="244"/>
      <c r="I4" s="242"/>
      <c r="J4" s="242"/>
      <c r="K4" s="242"/>
      <c r="L4" s="242"/>
      <c r="M4" s="242"/>
      <c r="N4" s="242"/>
      <c r="O4" s="242"/>
      <c r="P4" s="242"/>
    </row>
    <row r="5" spans="1:16">
      <c r="A5" s="244"/>
      <c r="B5" s="244"/>
      <c r="C5" s="245" t="s">
        <v>106</v>
      </c>
      <c r="D5" s="244"/>
      <c r="E5" s="244"/>
      <c r="F5" s="226"/>
      <c r="G5" s="244"/>
      <c r="H5" s="246">
        <f>SUM(H6:H11)</f>
        <v>130.83333333333331</v>
      </c>
      <c r="I5" s="242"/>
      <c r="J5" s="242"/>
      <c r="K5" s="242"/>
      <c r="L5" s="242"/>
      <c r="M5" s="242"/>
      <c r="N5" s="242"/>
      <c r="O5" s="242"/>
      <c r="P5" s="242"/>
    </row>
    <row r="6" spans="1:16">
      <c r="A6" s="247">
        <v>1</v>
      </c>
      <c r="B6" s="100" t="s">
        <v>7</v>
      </c>
      <c r="C6" s="75" t="s">
        <v>321</v>
      </c>
      <c r="D6" s="99">
        <v>3000</v>
      </c>
      <c r="E6" s="99">
        <f>D6*A6</f>
        <v>3000</v>
      </c>
      <c r="F6" s="248">
        <v>0.25</v>
      </c>
      <c r="G6" s="249">
        <v>60</v>
      </c>
      <c r="H6" s="250">
        <f>E6/G6</f>
        <v>50</v>
      </c>
      <c r="I6" s="242"/>
      <c r="J6" s="242"/>
      <c r="K6" s="242"/>
      <c r="L6" s="242"/>
      <c r="M6" s="242"/>
      <c r="N6" s="242"/>
      <c r="O6" s="242"/>
      <c r="P6" s="242"/>
    </row>
    <row r="7" spans="1:16">
      <c r="A7" s="247">
        <v>1</v>
      </c>
      <c r="B7" s="100" t="s">
        <v>7</v>
      </c>
      <c r="C7" s="75" t="s">
        <v>341</v>
      </c>
      <c r="D7" s="99">
        <v>1000</v>
      </c>
      <c r="E7" s="99">
        <f t="shared" ref="E7:E11" si="0">D7*A7</f>
        <v>1000</v>
      </c>
      <c r="F7" s="248">
        <v>0.25</v>
      </c>
      <c r="G7" s="249">
        <v>60</v>
      </c>
      <c r="H7" s="250">
        <f t="shared" ref="H7:H11" si="1">E7/G7</f>
        <v>16.666666666666668</v>
      </c>
      <c r="I7" s="242"/>
      <c r="J7" s="242"/>
      <c r="K7" s="242"/>
      <c r="L7" s="242"/>
      <c r="M7" s="242"/>
      <c r="N7" s="242"/>
      <c r="O7" s="242"/>
      <c r="P7" s="242"/>
    </row>
    <row r="8" spans="1:16">
      <c r="A8" s="247">
        <v>1</v>
      </c>
      <c r="B8" s="100" t="s">
        <v>7</v>
      </c>
      <c r="C8" s="75" t="s">
        <v>323</v>
      </c>
      <c r="D8" s="99">
        <v>350</v>
      </c>
      <c r="E8" s="99">
        <f t="shared" si="0"/>
        <v>350</v>
      </c>
      <c r="F8" s="248">
        <v>0.25</v>
      </c>
      <c r="G8" s="249">
        <v>60</v>
      </c>
      <c r="H8" s="250">
        <f t="shared" si="1"/>
        <v>5.833333333333333</v>
      </c>
      <c r="I8" s="242"/>
      <c r="J8" s="242"/>
      <c r="K8" s="242"/>
      <c r="L8" s="242"/>
      <c r="M8" s="242"/>
      <c r="N8" s="242"/>
      <c r="O8" s="242"/>
      <c r="P8" s="242"/>
    </row>
    <row r="9" spans="1:16">
      <c r="A9" s="247">
        <v>1</v>
      </c>
      <c r="B9" s="100" t="s">
        <v>7</v>
      </c>
      <c r="C9" s="75" t="s">
        <v>325</v>
      </c>
      <c r="D9" s="99">
        <v>300</v>
      </c>
      <c r="E9" s="99">
        <f t="shared" si="0"/>
        <v>300</v>
      </c>
      <c r="F9" s="248">
        <v>0.25</v>
      </c>
      <c r="G9" s="249">
        <v>36</v>
      </c>
      <c r="H9" s="250">
        <f t="shared" si="1"/>
        <v>8.3333333333333339</v>
      </c>
      <c r="I9" s="242"/>
      <c r="J9" s="242">
        <f>120/12</f>
        <v>10</v>
      </c>
      <c r="K9" s="242"/>
      <c r="L9" s="242"/>
      <c r="M9" s="242"/>
      <c r="N9" s="242"/>
      <c r="O9" s="242"/>
      <c r="P9" s="242"/>
    </row>
    <row r="10" spans="1:16">
      <c r="A10" s="247">
        <v>1</v>
      </c>
      <c r="B10" s="100" t="s">
        <v>7</v>
      </c>
      <c r="C10" s="75" t="s">
        <v>342</v>
      </c>
      <c r="D10" s="99">
        <v>1200</v>
      </c>
      <c r="E10" s="99">
        <f t="shared" si="0"/>
        <v>1200</v>
      </c>
      <c r="F10" s="248">
        <v>0.25</v>
      </c>
      <c r="G10" s="249">
        <v>48</v>
      </c>
      <c r="H10" s="250">
        <f t="shared" si="1"/>
        <v>25</v>
      </c>
      <c r="I10" s="242"/>
      <c r="J10" s="242"/>
      <c r="K10" s="242"/>
      <c r="L10" s="242"/>
      <c r="M10" s="242"/>
      <c r="N10" s="242"/>
      <c r="O10" s="242"/>
      <c r="P10" s="242"/>
    </row>
    <row r="11" spans="1:16">
      <c r="A11" s="247">
        <v>1</v>
      </c>
      <c r="B11" s="100" t="s">
        <v>7</v>
      </c>
      <c r="C11" s="75" t="s">
        <v>343</v>
      </c>
      <c r="D11" s="99">
        <v>1500</v>
      </c>
      <c r="E11" s="99">
        <f t="shared" si="0"/>
        <v>1500</v>
      </c>
      <c r="F11" s="248">
        <v>0.25</v>
      </c>
      <c r="G11" s="249">
        <v>60</v>
      </c>
      <c r="H11" s="250">
        <f t="shared" si="1"/>
        <v>25</v>
      </c>
      <c r="I11" s="242"/>
      <c r="J11" s="242"/>
      <c r="K11" s="242"/>
      <c r="L11" s="242"/>
      <c r="M11" s="242"/>
      <c r="N11" s="242"/>
      <c r="O11" s="242"/>
      <c r="P11" s="242"/>
    </row>
    <row r="12" spans="1:16">
      <c r="A12" s="247"/>
      <c r="B12" s="100"/>
      <c r="C12" s="251" t="s">
        <v>107</v>
      </c>
      <c r="D12" s="252"/>
      <c r="E12" s="99"/>
      <c r="F12" s="102"/>
      <c r="G12" s="249"/>
      <c r="H12" s="253">
        <f>SUM(H13:H14)</f>
        <v>27.333333333333332</v>
      </c>
      <c r="I12" s="242"/>
      <c r="J12" s="242"/>
      <c r="K12" s="242"/>
      <c r="L12" s="242"/>
      <c r="M12" s="242"/>
      <c r="N12" s="242"/>
      <c r="O12" s="242"/>
      <c r="P12" s="242"/>
    </row>
    <row r="13" spans="1:16">
      <c r="A13" s="247">
        <v>32</v>
      </c>
      <c r="B13" s="100" t="s">
        <v>7</v>
      </c>
      <c r="C13" s="75" t="s">
        <v>24</v>
      </c>
      <c r="D13" s="99">
        <v>65</v>
      </c>
      <c r="E13" s="99">
        <f>A13*D13</f>
        <v>2080</v>
      </c>
      <c r="F13" s="248">
        <v>0.1</v>
      </c>
      <c r="G13" s="249">
        <v>120</v>
      </c>
      <c r="H13" s="250">
        <f>E13/G13</f>
        <v>17.333333333333332</v>
      </c>
      <c r="I13" s="242"/>
      <c r="J13" s="242"/>
      <c r="K13" s="242"/>
      <c r="L13" s="242"/>
      <c r="M13" s="242"/>
      <c r="N13" s="242"/>
      <c r="O13" s="242"/>
      <c r="P13" s="242"/>
    </row>
    <row r="14" spans="1:16">
      <c r="A14" s="247">
        <v>8</v>
      </c>
      <c r="B14" s="100" t="s">
        <v>7</v>
      </c>
      <c r="C14" s="75" t="s">
        <v>331</v>
      </c>
      <c r="D14" s="99">
        <v>150</v>
      </c>
      <c r="E14" s="99">
        <f>A14*D14</f>
        <v>1200</v>
      </c>
      <c r="F14" s="248">
        <v>0.1</v>
      </c>
      <c r="G14" s="249">
        <v>120</v>
      </c>
      <c r="H14" s="250">
        <f>E14/G14</f>
        <v>10</v>
      </c>
      <c r="I14" s="242"/>
      <c r="J14" s="242"/>
      <c r="K14" s="242"/>
      <c r="L14" s="242"/>
      <c r="M14" s="242"/>
      <c r="N14" s="242"/>
      <c r="O14" s="242"/>
      <c r="P14" s="242"/>
    </row>
    <row r="15" spans="1:16">
      <c r="A15" s="247"/>
      <c r="B15" s="100"/>
      <c r="C15" s="254" t="s">
        <v>49</v>
      </c>
      <c r="D15" s="99"/>
      <c r="E15" s="99"/>
      <c r="F15" s="102"/>
      <c r="G15" s="249"/>
      <c r="H15" s="253"/>
      <c r="I15" s="242"/>
      <c r="J15" s="242"/>
      <c r="K15" s="242"/>
      <c r="L15" s="242"/>
      <c r="M15" s="242"/>
      <c r="N15" s="242"/>
      <c r="O15" s="242"/>
      <c r="P15" s="242"/>
    </row>
    <row r="16" spans="1:16">
      <c r="A16" s="247"/>
      <c r="B16" s="247"/>
      <c r="C16" s="245" t="s">
        <v>104</v>
      </c>
      <c r="D16" s="255"/>
      <c r="E16" s="255"/>
      <c r="F16" s="256"/>
      <c r="G16" s="257"/>
      <c r="H16" s="258">
        <f>H12+H5</f>
        <v>158.16666666666666</v>
      </c>
      <c r="I16" s="242"/>
      <c r="J16" s="242"/>
      <c r="K16" s="242"/>
      <c r="L16" s="242"/>
      <c r="M16" s="242"/>
      <c r="N16" s="242"/>
      <c r="O16" s="242"/>
      <c r="P16" s="242"/>
    </row>
    <row r="17" spans="1:16">
      <c r="A17" s="242"/>
      <c r="B17" s="242"/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2"/>
      <c r="N17" s="242"/>
      <c r="O17" s="242"/>
      <c r="P17" s="242"/>
    </row>
    <row r="18" spans="1:16">
      <c r="A18" s="242"/>
      <c r="B18" s="242"/>
      <c r="C18" s="242"/>
      <c r="D18" s="242"/>
      <c r="E18" s="242"/>
      <c r="F18" s="242"/>
      <c r="G18" s="242"/>
      <c r="H18" s="242"/>
      <c r="I18" s="242"/>
      <c r="J18" s="242"/>
      <c r="K18" s="242"/>
      <c r="L18" s="242"/>
      <c r="M18" s="242"/>
      <c r="N18" s="242"/>
      <c r="O18" s="242"/>
      <c r="P18" s="242"/>
    </row>
    <row r="19" spans="1:16">
      <c r="A19" s="242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242"/>
      <c r="P19" s="242"/>
    </row>
    <row r="20" spans="1:16">
      <c r="A20" s="242"/>
      <c r="B20" s="28" t="s">
        <v>363</v>
      </c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42"/>
      <c r="N20" s="242"/>
      <c r="O20" s="242"/>
      <c r="P20" s="242"/>
    </row>
    <row r="21" spans="1:16">
      <c r="A21" s="242"/>
      <c r="B21" s="30" t="s">
        <v>364</v>
      </c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242"/>
      <c r="N21" s="242"/>
      <c r="O21" s="242"/>
      <c r="P21" s="242"/>
    </row>
    <row r="22" spans="1:16">
      <c r="A22" s="242"/>
      <c r="B22" s="32"/>
      <c r="C22" s="29"/>
      <c r="D22" s="32"/>
      <c r="E22" s="32"/>
      <c r="F22" s="32"/>
      <c r="G22" s="32"/>
      <c r="H22" s="32"/>
      <c r="I22" s="32"/>
      <c r="J22" s="32"/>
      <c r="K22" s="29"/>
      <c r="L22" s="29"/>
      <c r="M22" s="242"/>
      <c r="N22" s="242"/>
      <c r="O22" s="242"/>
      <c r="P22" s="242"/>
    </row>
    <row r="23" spans="1:16">
      <c r="A23" s="242"/>
      <c r="B23" s="29"/>
      <c r="C23" s="33"/>
      <c r="D23" s="29"/>
      <c r="E23" s="29"/>
      <c r="F23" s="29"/>
      <c r="G23" s="29"/>
      <c r="H23" s="29"/>
      <c r="I23" s="29"/>
      <c r="J23" s="29"/>
      <c r="K23" s="29"/>
      <c r="L23" s="29"/>
      <c r="M23" s="242"/>
      <c r="N23" s="242"/>
      <c r="O23" s="242"/>
      <c r="P23" s="242"/>
    </row>
    <row r="24" spans="1:16">
      <c r="A24" s="242"/>
      <c r="B24" s="34"/>
      <c r="C24" s="34"/>
      <c r="D24" s="35" t="s">
        <v>365</v>
      </c>
      <c r="E24" s="35"/>
      <c r="F24" s="35"/>
      <c r="G24" s="35"/>
      <c r="H24" s="35"/>
      <c r="I24" s="35"/>
      <c r="J24" s="35"/>
      <c r="K24" s="35"/>
      <c r="L24" s="35"/>
      <c r="M24" s="242"/>
      <c r="N24" s="242"/>
      <c r="O24" s="242"/>
      <c r="P24" s="242"/>
    </row>
    <row r="25" spans="1:16">
      <c r="A25" s="242"/>
      <c r="B25" s="34"/>
      <c r="C25" s="34" t="s">
        <v>366</v>
      </c>
      <c r="D25" s="512">
        <v>1990</v>
      </c>
      <c r="E25" s="512">
        <v>1991</v>
      </c>
      <c r="F25" s="65"/>
      <c r="G25" s="512" t="s">
        <v>367</v>
      </c>
      <c r="H25" s="512" t="s">
        <v>368</v>
      </c>
      <c r="I25" s="512" t="s">
        <v>369</v>
      </c>
      <c r="J25" s="512">
        <v>1999</v>
      </c>
      <c r="K25" s="512" t="s">
        <v>370</v>
      </c>
      <c r="L25" s="512" t="s">
        <v>371</v>
      </c>
      <c r="M25" s="242"/>
      <c r="N25" s="242"/>
      <c r="O25" s="242"/>
      <c r="P25" s="242"/>
    </row>
    <row r="26" spans="1:16">
      <c r="A26" s="242"/>
      <c r="B26" s="36" t="s">
        <v>372</v>
      </c>
      <c r="C26" s="37" t="s">
        <v>373</v>
      </c>
      <c r="D26" s="513"/>
      <c r="E26" s="513"/>
      <c r="F26" s="66"/>
      <c r="G26" s="513"/>
      <c r="H26" s="513"/>
      <c r="I26" s="513"/>
      <c r="J26" s="513"/>
      <c r="K26" s="513"/>
      <c r="L26" s="513"/>
      <c r="M26" s="242"/>
      <c r="N26" s="242"/>
      <c r="O26" s="242"/>
      <c r="P26" s="242"/>
    </row>
    <row r="27" spans="1:16">
      <c r="A27" s="242"/>
      <c r="B27" s="38"/>
      <c r="C27" s="37" t="s">
        <v>374</v>
      </c>
      <c r="D27" s="514"/>
      <c r="E27" s="514"/>
      <c r="F27" s="67"/>
      <c r="G27" s="514"/>
      <c r="H27" s="514"/>
      <c r="I27" s="514"/>
      <c r="J27" s="514"/>
      <c r="K27" s="514"/>
      <c r="L27" s="514"/>
      <c r="M27" s="242"/>
      <c r="N27" s="242"/>
      <c r="O27" s="242"/>
      <c r="P27" s="242"/>
    </row>
    <row r="28" spans="1:16">
      <c r="A28" s="242"/>
      <c r="B28" s="39" t="s">
        <v>375</v>
      </c>
      <c r="C28" s="40"/>
      <c r="D28" s="41"/>
      <c r="E28" s="41">
        <v>0.1</v>
      </c>
      <c r="F28" s="41"/>
      <c r="G28" s="41">
        <v>0.1</v>
      </c>
      <c r="H28" s="41">
        <v>0.1</v>
      </c>
      <c r="I28" s="41"/>
      <c r="J28" s="42"/>
      <c r="K28" s="42"/>
      <c r="L28" s="42"/>
      <c r="M28" s="242"/>
      <c r="N28" s="242"/>
      <c r="O28" s="242"/>
      <c r="P28" s="242"/>
    </row>
    <row r="29" spans="1:16">
      <c r="A29" s="242"/>
      <c r="B29" s="39" t="s">
        <v>376</v>
      </c>
      <c r="C29" s="40"/>
      <c r="D29" s="42"/>
      <c r="E29" s="42"/>
      <c r="F29" s="42"/>
      <c r="G29" s="42"/>
      <c r="H29" s="41">
        <v>0.1</v>
      </c>
      <c r="I29" s="41">
        <v>0.1</v>
      </c>
      <c r="J29" s="41">
        <v>0.1</v>
      </c>
      <c r="K29" s="41">
        <v>0.1</v>
      </c>
      <c r="L29" s="41">
        <v>0.1</v>
      </c>
      <c r="M29" s="242"/>
      <c r="N29" s="242"/>
      <c r="O29" s="242"/>
      <c r="P29" s="242"/>
    </row>
    <row r="30" spans="1:16">
      <c r="A30" s="242"/>
      <c r="B30" s="39" t="s">
        <v>377</v>
      </c>
      <c r="C30" s="40"/>
      <c r="D30" s="42"/>
      <c r="E30" s="42"/>
      <c r="F30" s="42"/>
      <c r="G30" s="42"/>
      <c r="H30" s="41"/>
      <c r="I30" s="41">
        <v>0.1</v>
      </c>
      <c r="J30" s="41">
        <v>0.1</v>
      </c>
      <c r="K30" s="41"/>
      <c r="L30" s="42"/>
      <c r="M30" s="242"/>
      <c r="N30" s="242"/>
      <c r="O30" s="242"/>
      <c r="P30" s="242"/>
    </row>
    <row r="31" spans="1:16">
      <c r="A31" s="242"/>
      <c r="B31" s="39" t="s">
        <v>378</v>
      </c>
      <c r="C31" s="40"/>
      <c r="D31" s="41">
        <v>0.03</v>
      </c>
      <c r="E31" s="41">
        <v>0.03</v>
      </c>
      <c r="F31" s="41"/>
      <c r="G31" s="41">
        <v>0.03</v>
      </c>
      <c r="H31" s="41">
        <v>0.03</v>
      </c>
      <c r="I31" s="41">
        <v>0.03</v>
      </c>
      <c r="J31" s="41">
        <v>0.03</v>
      </c>
      <c r="K31" s="41">
        <v>0.03</v>
      </c>
      <c r="L31" s="41">
        <v>0.05</v>
      </c>
      <c r="M31" s="242"/>
      <c r="N31" s="242"/>
      <c r="O31" s="242"/>
      <c r="P31" s="242"/>
    </row>
    <row r="32" spans="1:16">
      <c r="A32" s="242"/>
      <c r="B32" s="39" t="s">
        <v>379</v>
      </c>
      <c r="C32" s="40">
        <v>4</v>
      </c>
      <c r="D32" s="41">
        <v>0.25</v>
      </c>
      <c r="E32" s="41">
        <v>0.25</v>
      </c>
      <c r="F32" s="41"/>
      <c r="G32" s="41">
        <v>0.25</v>
      </c>
      <c r="H32" s="41">
        <v>0.25</v>
      </c>
      <c r="I32" s="41">
        <v>0.25</v>
      </c>
      <c r="J32" s="41">
        <v>0.25</v>
      </c>
      <c r="K32" s="41">
        <v>0.25</v>
      </c>
      <c r="L32" s="41">
        <v>12.34</v>
      </c>
      <c r="M32" s="242"/>
      <c r="N32" s="242"/>
      <c r="O32" s="242"/>
      <c r="P32" s="242"/>
    </row>
    <row r="33" spans="1:16">
      <c r="A33" s="242"/>
      <c r="B33" s="39" t="s">
        <v>380</v>
      </c>
      <c r="C33" s="40"/>
      <c r="D33" s="42"/>
      <c r="E33" s="42"/>
      <c r="F33" s="42"/>
      <c r="G33" s="42"/>
      <c r="H33" s="42"/>
      <c r="I33" s="42"/>
      <c r="J33" s="42"/>
      <c r="K33" s="41">
        <v>0.75</v>
      </c>
      <c r="L33" s="42"/>
      <c r="M33" s="242"/>
      <c r="N33" s="242"/>
      <c r="O33" s="242"/>
      <c r="P33" s="242"/>
    </row>
    <row r="34" spans="1:16">
      <c r="A34" s="242"/>
      <c r="B34" s="39" t="s">
        <v>381</v>
      </c>
      <c r="C34" s="40">
        <v>5</v>
      </c>
      <c r="D34" s="41">
        <v>0.2</v>
      </c>
      <c r="E34" s="41">
        <v>0.2</v>
      </c>
      <c r="F34" s="41"/>
      <c r="G34" s="41">
        <v>0.2</v>
      </c>
      <c r="H34" s="41">
        <v>0.2</v>
      </c>
      <c r="I34" s="41">
        <v>0.2</v>
      </c>
      <c r="J34" s="41">
        <v>0.2</v>
      </c>
      <c r="K34" s="41">
        <v>0.2</v>
      </c>
      <c r="L34" s="41">
        <v>0.2</v>
      </c>
      <c r="M34" s="242"/>
      <c r="N34" s="242"/>
      <c r="O34" s="242"/>
      <c r="P34" s="242"/>
    </row>
    <row r="35" spans="1:16">
      <c r="A35" s="242"/>
      <c r="B35" s="39" t="s">
        <v>382</v>
      </c>
      <c r="C35" s="40"/>
      <c r="D35" s="42"/>
      <c r="E35" s="42"/>
      <c r="F35" s="42"/>
      <c r="G35" s="42"/>
      <c r="H35" s="42"/>
      <c r="I35" s="42"/>
      <c r="J35" s="42"/>
      <c r="K35" s="41"/>
      <c r="L35" s="42"/>
      <c r="M35" s="242"/>
      <c r="N35" s="242"/>
      <c r="O35" s="242"/>
      <c r="P35" s="242"/>
    </row>
    <row r="36" spans="1:16">
      <c r="A36" s="242"/>
      <c r="B36" s="39" t="s">
        <v>383</v>
      </c>
      <c r="C36" s="40">
        <v>5</v>
      </c>
      <c r="D36" s="41">
        <v>0.2</v>
      </c>
      <c r="E36" s="41">
        <v>0.2</v>
      </c>
      <c r="F36" s="41"/>
      <c r="G36" s="41">
        <v>0.2</v>
      </c>
      <c r="H36" s="41">
        <v>0.2</v>
      </c>
      <c r="I36" s="41">
        <v>0.2</v>
      </c>
      <c r="J36" s="41">
        <v>0.2</v>
      </c>
      <c r="K36" s="41">
        <v>0.2</v>
      </c>
      <c r="L36" s="41">
        <v>0.2</v>
      </c>
      <c r="M36" s="242"/>
      <c r="N36" s="242"/>
      <c r="O36" s="242"/>
      <c r="P36" s="242"/>
    </row>
    <row r="37" spans="1:16">
      <c r="A37" s="242"/>
      <c r="B37" s="39" t="s">
        <v>384</v>
      </c>
      <c r="C37" s="40">
        <v>4</v>
      </c>
      <c r="D37" s="42"/>
      <c r="E37" s="42"/>
      <c r="F37" s="42"/>
      <c r="G37" s="41">
        <v>0.2</v>
      </c>
      <c r="H37" s="41">
        <v>0.2</v>
      </c>
      <c r="I37" s="41">
        <v>0.2</v>
      </c>
      <c r="J37" s="41">
        <v>0.25</v>
      </c>
      <c r="K37" s="41">
        <v>0.25</v>
      </c>
      <c r="L37" s="41">
        <v>0.25</v>
      </c>
      <c r="M37" s="242"/>
      <c r="N37" s="242"/>
      <c r="O37" s="242"/>
      <c r="P37" s="242"/>
    </row>
    <row r="38" spans="1:16">
      <c r="A38" s="242"/>
      <c r="B38" s="39" t="s">
        <v>385</v>
      </c>
      <c r="C38" s="40">
        <v>10</v>
      </c>
      <c r="D38" s="43"/>
      <c r="E38" s="41">
        <v>0.2</v>
      </c>
      <c r="F38" s="41"/>
      <c r="G38" s="41">
        <v>0.2</v>
      </c>
      <c r="H38" s="41">
        <v>0.2</v>
      </c>
      <c r="I38" s="41">
        <v>0.2</v>
      </c>
      <c r="J38" s="41">
        <v>0.1</v>
      </c>
      <c r="K38" s="41">
        <v>0.1</v>
      </c>
      <c r="L38" s="41">
        <v>0.1</v>
      </c>
      <c r="M38" s="242"/>
      <c r="N38" s="242"/>
      <c r="O38" s="242"/>
      <c r="P38" s="242"/>
    </row>
    <row r="39" spans="1:16">
      <c r="A39" s="242"/>
      <c r="B39" s="39" t="s">
        <v>386</v>
      </c>
      <c r="C39" s="40">
        <v>10</v>
      </c>
      <c r="D39" s="41">
        <v>0.1</v>
      </c>
      <c r="E39" s="41">
        <v>0.1</v>
      </c>
      <c r="F39" s="41"/>
      <c r="G39" s="41">
        <v>0.1</v>
      </c>
      <c r="H39" s="41">
        <v>0.1</v>
      </c>
      <c r="I39" s="41">
        <v>0.1</v>
      </c>
      <c r="J39" s="41">
        <v>0.1</v>
      </c>
      <c r="K39" s="41">
        <v>0.1</v>
      </c>
      <c r="L39" s="41">
        <v>0.1</v>
      </c>
      <c r="M39" s="242"/>
      <c r="N39" s="242"/>
      <c r="O39" s="242"/>
      <c r="P39" s="242"/>
    </row>
    <row r="40" spans="1:16">
      <c r="A40" s="242"/>
      <c r="B40" s="44"/>
      <c r="C40" s="45"/>
      <c r="D40" s="46"/>
      <c r="E40" s="46"/>
      <c r="F40" s="46"/>
      <c r="G40" s="46"/>
      <c r="H40" s="46"/>
      <c r="I40" s="46"/>
      <c r="J40" s="46"/>
      <c r="K40" s="46"/>
      <c r="L40" s="47"/>
      <c r="M40" s="242"/>
      <c r="N40" s="242"/>
      <c r="O40" s="242"/>
      <c r="P40" s="242"/>
    </row>
    <row r="41" spans="1:16">
      <c r="A41" s="242"/>
      <c r="B41" s="242"/>
      <c r="C41" s="242"/>
      <c r="D41" s="242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</row>
    <row r="42" spans="1:16">
      <c r="A42" s="242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</row>
    <row r="43" spans="1:16">
      <c r="A43" s="242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</row>
    <row r="44" spans="1:16">
      <c r="A44" s="242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</row>
    <row r="45" spans="1:16">
      <c r="A45" s="242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2"/>
      <c r="N45" s="242"/>
      <c r="O45" s="242"/>
      <c r="P45" s="242"/>
    </row>
    <row r="46" spans="1:16">
      <c r="A46" s="242"/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</row>
    <row r="47" spans="1:16">
      <c r="A47" s="242"/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</row>
    <row r="48" spans="1:16">
      <c r="A48" s="242"/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2"/>
      <c r="N48" s="242"/>
      <c r="O48" s="242"/>
      <c r="P48" s="242"/>
    </row>
    <row r="49" spans="1:16">
      <c r="A49" s="242"/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2"/>
      <c r="P49" s="242"/>
    </row>
    <row r="50" spans="1:16">
      <c r="A50" s="242"/>
      <c r="B50" s="242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</row>
    <row r="51" spans="1:16">
      <c r="A51" s="242"/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</row>
    <row r="52" spans="1:16">
      <c r="A52" s="242"/>
      <c r="B52" s="242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</row>
    <row r="53" spans="1:16">
      <c r="A53" s="242"/>
      <c r="B53" s="242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</row>
    <row r="54" spans="1:16">
      <c r="A54" s="242"/>
      <c r="B54" s="242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</row>
    <row r="55" spans="1:16">
      <c r="A55" s="242"/>
      <c r="B55" s="242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</row>
    <row r="56" spans="1:16">
      <c r="A56" s="242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</row>
    <row r="57" spans="1:16">
      <c r="A57" s="242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</row>
    <row r="58" spans="1:16">
      <c r="A58" s="242"/>
      <c r="B58" s="242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</row>
    <row r="59" spans="1:16">
      <c r="A59" s="242"/>
      <c r="B59" s="242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</row>
    <row r="60" spans="1:16">
      <c r="A60" s="242"/>
      <c r="B60" s="242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</row>
    <row r="61" spans="1:16">
      <c r="A61" s="242"/>
      <c r="B61" s="242"/>
      <c r="C61" s="242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</row>
    <row r="62" spans="1:16">
      <c r="A62" s="242"/>
      <c r="B62" s="242"/>
      <c r="C62" s="242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</row>
    <row r="63" spans="1:16">
      <c r="A63" s="242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</row>
    <row r="64" spans="1:16">
      <c r="A64" s="242"/>
      <c r="B64" s="242"/>
      <c r="C64" s="242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242"/>
      <c r="P64" s="242"/>
    </row>
    <row r="65" spans="1:16">
      <c r="A65" s="242"/>
      <c r="B65" s="242"/>
      <c r="C65" s="242"/>
      <c r="D65" s="242"/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242"/>
      <c r="P65" s="242"/>
    </row>
    <row r="66" spans="1:16">
      <c r="A66" s="242"/>
      <c r="B66" s="242"/>
      <c r="C66" s="242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  <c r="O66" s="242"/>
      <c r="P66" s="242"/>
    </row>
    <row r="67" spans="1:16">
      <c r="A67" s="242"/>
      <c r="B67" s="242"/>
      <c r="C67" s="242"/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242"/>
      <c r="P67" s="242"/>
    </row>
    <row r="68" spans="1:16">
      <c r="A68" s="242"/>
      <c r="B68" s="242"/>
      <c r="C68" s="242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</row>
    <row r="69" spans="1:16">
      <c r="A69" s="242"/>
      <c r="B69" s="242"/>
      <c r="C69" s="242"/>
      <c r="D69" s="242"/>
      <c r="E69" s="242"/>
      <c r="F69" s="242"/>
      <c r="G69" s="242"/>
      <c r="H69" s="242"/>
      <c r="I69" s="242"/>
      <c r="J69" s="242"/>
      <c r="K69" s="242"/>
      <c r="L69" s="242"/>
      <c r="M69" s="242"/>
      <c r="N69" s="242"/>
      <c r="O69" s="242"/>
      <c r="P69" s="242"/>
    </row>
    <row r="70" spans="1:16">
      <c r="A70" s="242"/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  <c r="P70" s="242"/>
    </row>
    <row r="71" spans="1:16">
      <c r="A71" s="242"/>
      <c r="B71" s="242"/>
      <c r="C71" s="242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</row>
    <row r="72" spans="1:16">
      <c r="A72" s="242"/>
      <c r="B72" s="242"/>
      <c r="C72" s="242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242"/>
    </row>
    <row r="73" spans="1:16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</row>
    <row r="74" spans="1:16">
      <c r="A74" s="242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</row>
    <row r="75" spans="1:16">
      <c r="A75" s="242"/>
      <c r="B75" s="242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</row>
    <row r="76" spans="1:16">
      <c r="A76" s="242"/>
      <c r="B76" s="242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</row>
    <row r="77" spans="1:16">
      <c r="A77" s="242"/>
      <c r="B77" s="242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</row>
    <row r="78" spans="1:16">
      <c r="A78" s="242"/>
      <c r="B78" s="242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</row>
    <row r="79" spans="1:16">
      <c r="A79" s="242"/>
      <c r="B79" s="242"/>
      <c r="C79" s="242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2"/>
      <c r="P79" s="242"/>
    </row>
    <row r="80" spans="1:16">
      <c r="A80" s="242"/>
      <c r="B80" s="242"/>
      <c r="C80" s="242"/>
      <c r="D80" s="242"/>
      <c r="E80" s="242"/>
      <c r="F80" s="242"/>
      <c r="G80" s="242"/>
      <c r="H80" s="242"/>
      <c r="I80" s="242"/>
      <c r="J80" s="242"/>
      <c r="K80" s="242"/>
      <c r="L80" s="242"/>
      <c r="M80" s="242"/>
      <c r="N80" s="242"/>
      <c r="O80" s="242"/>
      <c r="P80" s="242"/>
    </row>
    <row r="81" spans="1:16">
      <c r="A81" s="242"/>
      <c r="B81" s="242"/>
      <c r="C81" s="242"/>
      <c r="D81" s="242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242"/>
      <c r="P81" s="242"/>
    </row>
    <row r="82" spans="1:16">
      <c r="A82" s="242"/>
      <c r="B82" s="242"/>
      <c r="C82" s="242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242"/>
      <c r="P82" s="242"/>
    </row>
    <row r="83" spans="1:16">
      <c r="A83" s="242"/>
      <c r="B83" s="242"/>
      <c r="C83" s="242"/>
      <c r="D83" s="242"/>
      <c r="E83" s="242"/>
      <c r="F83" s="242"/>
      <c r="G83" s="242"/>
      <c r="H83" s="242"/>
      <c r="I83" s="242"/>
      <c r="J83" s="242"/>
      <c r="K83" s="242"/>
      <c r="L83" s="242"/>
      <c r="M83" s="242"/>
      <c r="N83" s="242"/>
      <c r="O83" s="242"/>
      <c r="P83" s="242"/>
    </row>
    <row r="84" spans="1:16">
      <c r="A84" s="242"/>
      <c r="B84" s="242"/>
      <c r="C84" s="242"/>
      <c r="D84" s="242"/>
      <c r="E84" s="242"/>
      <c r="F84" s="242"/>
      <c r="G84" s="242"/>
      <c r="H84" s="242"/>
      <c r="I84" s="242"/>
      <c r="J84" s="242"/>
      <c r="K84" s="242"/>
      <c r="L84" s="242"/>
      <c r="M84" s="242"/>
      <c r="N84" s="242"/>
      <c r="O84" s="242"/>
      <c r="P84" s="242"/>
    </row>
    <row r="85" spans="1:16">
      <c r="A85" s="242"/>
      <c r="B85" s="242"/>
      <c r="C85" s="242"/>
      <c r="D85" s="242"/>
      <c r="E85" s="242"/>
      <c r="F85" s="242"/>
      <c r="G85" s="242"/>
      <c r="H85" s="242"/>
      <c r="I85" s="242"/>
      <c r="J85" s="242"/>
      <c r="K85" s="242"/>
      <c r="L85" s="242"/>
      <c r="M85" s="242"/>
      <c r="N85" s="242"/>
      <c r="O85" s="242"/>
      <c r="P85" s="242"/>
    </row>
    <row r="86" spans="1:16">
      <c r="A86" s="242"/>
      <c r="B86" s="242"/>
      <c r="C86" s="242"/>
      <c r="D86" s="242"/>
      <c r="E86" s="242"/>
      <c r="F86" s="242"/>
      <c r="G86" s="242"/>
      <c r="H86" s="242"/>
      <c r="I86" s="242"/>
      <c r="J86" s="242"/>
      <c r="K86" s="242"/>
      <c r="L86" s="242"/>
      <c r="M86" s="242"/>
      <c r="N86" s="242"/>
      <c r="O86" s="242"/>
      <c r="P86" s="242"/>
    </row>
    <row r="87" spans="1:16">
      <c r="A87" s="242"/>
      <c r="B87" s="242"/>
      <c r="C87" s="242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242"/>
      <c r="P87" s="242"/>
    </row>
    <row r="88" spans="1:16">
      <c r="A88" s="242"/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42"/>
      <c r="N88" s="242"/>
      <c r="O88" s="242"/>
      <c r="P88" s="242"/>
    </row>
    <row r="89" spans="1:16">
      <c r="A89" s="242"/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42"/>
      <c r="N89" s="242"/>
      <c r="O89" s="242"/>
      <c r="P89" s="242"/>
    </row>
    <row r="90" spans="1:16">
      <c r="A90" s="242"/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242"/>
      <c r="P90" s="242"/>
    </row>
    <row r="91" spans="1:16">
      <c r="A91" s="242"/>
      <c r="B91" s="242"/>
      <c r="C91" s="242"/>
      <c r="D91" s="242"/>
      <c r="E91" s="242"/>
      <c r="F91" s="242"/>
      <c r="G91" s="242"/>
      <c r="H91" s="242"/>
      <c r="I91" s="242"/>
      <c r="J91" s="242"/>
      <c r="K91" s="242"/>
      <c r="L91" s="242"/>
      <c r="M91" s="242"/>
      <c r="N91" s="242"/>
      <c r="O91" s="242"/>
      <c r="P91" s="242"/>
    </row>
    <row r="92" spans="1:16">
      <c r="A92" s="242"/>
      <c r="B92" s="242"/>
      <c r="C92" s="242"/>
      <c r="D92" s="242"/>
      <c r="E92" s="242"/>
      <c r="F92" s="242"/>
      <c r="G92" s="242"/>
      <c r="H92" s="242"/>
      <c r="I92" s="242"/>
      <c r="J92" s="242"/>
      <c r="K92" s="242"/>
      <c r="L92" s="242"/>
      <c r="M92" s="242"/>
      <c r="N92" s="242"/>
      <c r="O92" s="242"/>
      <c r="P92" s="242"/>
    </row>
    <row r="93" spans="1:16">
      <c r="A93" s="242"/>
      <c r="B93" s="242"/>
      <c r="C93" s="242"/>
      <c r="D93" s="242"/>
      <c r="E93" s="242"/>
      <c r="F93" s="242"/>
      <c r="G93" s="242"/>
      <c r="H93" s="242"/>
      <c r="I93" s="242"/>
      <c r="J93" s="242"/>
      <c r="K93" s="242"/>
      <c r="L93" s="242"/>
      <c r="M93" s="242"/>
      <c r="N93" s="242"/>
      <c r="O93" s="242"/>
      <c r="P93" s="242"/>
    </row>
    <row r="94" spans="1:16">
      <c r="A94" s="242"/>
      <c r="B94" s="242"/>
      <c r="C94" s="242"/>
      <c r="D94" s="242"/>
      <c r="E94" s="242"/>
      <c r="F94" s="242"/>
      <c r="G94" s="242"/>
      <c r="H94" s="242"/>
      <c r="I94" s="242"/>
      <c r="J94" s="242"/>
      <c r="K94" s="242"/>
      <c r="L94" s="242"/>
      <c r="M94" s="242"/>
      <c r="N94" s="242"/>
      <c r="O94" s="242"/>
      <c r="P94" s="242"/>
    </row>
    <row r="95" spans="1:16">
      <c r="A95" s="242"/>
      <c r="B95" s="242"/>
      <c r="C95" s="242"/>
      <c r="D95" s="242"/>
      <c r="E95" s="242"/>
      <c r="F95" s="242"/>
      <c r="G95" s="242"/>
      <c r="H95" s="242"/>
      <c r="I95" s="242"/>
      <c r="J95" s="242"/>
      <c r="K95" s="242"/>
      <c r="L95" s="242"/>
      <c r="M95" s="242"/>
      <c r="N95" s="242"/>
      <c r="O95" s="242"/>
      <c r="P95" s="242"/>
    </row>
    <row r="96" spans="1:16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</row>
    <row r="97" spans="1:16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</row>
    <row r="98" spans="1:16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</row>
    <row r="99" spans="1:16">
      <c r="A99" s="242"/>
      <c r="B99" s="242"/>
      <c r="C99" s="242"/>
      <c r="D99" s="242"/>
      <c r="E99" s="242"/>
      <c r="F99" s="242"/>
      <c r="G99" s="242"/>
      <c r="H99" s="242"/>
      <c r="I99" s="242"/>
      <c r="J99" s="242"/>
      <c r="K99" s="242"/>
      <c r="L99" s="242"/>
      <c r="M99" s="242"/>
      <c r="N99" s="242"/>
      <c r="O99" s="242"/>
      <c r="P99" s="242"/>
    </row>
    <row r="100" spans="1:16">
      <c r="A100" s="242"/>
      <c r="B100" s="242"/>
      <c r="C100" s="242"/>
      <c r="D100" s="242"/>
      <c r="E100" s="242"/>
      <c r="F100" s="242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</row>
    <row r="101" spans="1:16">
      <c r="A101" s="242"/>
      <c r="B101" s="242"/>
      <c r="C101" s="242"/>
      <c r="D101" s="242"/>
      <c r="E101" s="242"/>
      <c r="F101" s="242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</row>
    <row r="102" spans="1:16">
      <c r="A102" s="242"/>
      <c r="B102" s="242"/>
      <c r="C102" s="242"/>
      <c r="D102" s="242"/>
      <c r="E102" s="242"/>
      <c r="F102" s="242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</row>
    <row r="103" spans="1:16">
      <c r="A103" s="242"/>
      <c r="B103" s="242"/>
      <c r="C103" s="242"/>
      <c r="D103" s="242"/>
      <c r="E103" s="242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</row>
    <row r="104" spans="1:16">
      <c r="A104" s="242"/>
      <c r="B104" s="242"/>
      <c r="C104" s="242"/>
      <c r="D104" s="242"/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</row>
    <row r="105" spans="1:16">
      <c r="A105" s="242"/>
      <c r="B105" s="242"/>
      <c r="C105" s="242"/>
      <c r="D105" s="242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</row>
    <row r="106" spans="1:16">
      <c r="A106" s="242"/>
      <c r="B106" s="242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</row>
    <row r="107" spans="1:16">
      <c r="A107" s="242"/>
      <c r="B107" s="242"/>
      <c r="C107" s="242"/>
      <c r="D107" s="242"/>
      <c r="E107" s="242"/>
      <c r="F107" s="242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</row>
    <row r="108" spans="1:16">
      <c r="A108" s="242"/>
      <c r="B108" s="242"/>
      <c r="C108" s="242"/>
      <c r="D108" s="242"/>
      <c r="E108" s="242"/>
      <c r="F108" s="242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</row>
    <row r="109" spans="1:16">
      <c r="A109" s="242"/>
      <c r="B109" s="242"/>
      <c r="C109" s="242"/>
      <c r="D109" s="242"/>
      <c r="E109" s="242"/>
      <c r="F109" s="242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</row>
    <row r="110" spans="1:16">
      <c r="A110" s="242"/>
      <c r="B110" s="242"/>
      <c r="C110" s="242"/>
      <c r="D110" s="242"/>
      <c r="E110" s="242"/>
      <c r="F110" s="242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</row>
    <row r="111" spans="1:16">
      <c r="A111" s="242"/>
      <c r="B111" s="242"/>
      <c r="C111" s="242"/>
      <c r="D111" s="242"/>
      <c r="E111" s="242"/>
      <c r="F111" s="242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</row>
    <row r="112" spans="1:16">
      <c r="A112" s="242"/>
      <c r="B112" s="242"/>
      <c r="C112" s="242"/>
      <c r="D112" s="242"/>
      <c r="E112" s="242"/>
      <c r="F112" s="242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</row>
    <row r="113" spans="1:16">
      <c r="A113" s="242"/>
      <c r="B113" s="242"/>
      <c r="C113" s="242"/>
      <c r="D113" s="242"/>
      <c r="E113" s="242"/>
      <c r="F113" s="242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</row>
    <row r="114" spans="1:16">
      <c r="A114" s="242"/>
      <c r="B114" s="242"/>
      <c r="C114" s="242"/>
      <c r="D114" s="242"/>
      <c r="E114" s="242"/>
      <c r="F114" s="242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</row>
    <row r="115" spans="1:16">
      <c r="A115" s="242"/>
      <c r="B115" s="242"/>
      <c r="C115" s="242"/>
      <c r="D115" s="242"/>
      <c r="E115" s="242"/>
      <c r="F115" s="242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</row>
    <row r="116" spans="1:16">
      <c r="A116" s="242"/>
      <c r="B116" s="242"/>
      <c r="C116" s="242"/>
      <c r="D116" s="242"/>
      <c r="E116" s="242"/>
      <c r="F116" s="242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</row>
    <row r="117" spans="1:16">
      <c r="A117" s="242"/>
      <c r="B117" s="242"/>
      <c r="C117" s="242"/>
      <c r="D117" s="242"/>
      <c r="E117" s="242"/>
      <c r="F117" s="242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</row>
    <row r="118" spans="1:16">
      <c r="A118" s="242"/>
      <c r="B118" s="242"/>
      <c r="C118" s="242"/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</row>
    <row r="119" spans="1:16">
      <c r="A119" s="242"/>
      <c r="B119" s="242"/>
      <c r="C119" s="242"/>
      <c r="D119" s="242"/>
      <c r="E119" s="242"/>
      <c r="F119" s="242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</row>
    <row r="120" spans="1:16">
      <c r="A120" s="242"/>
      <c r="B120" s="242"/>
      <c r="C120" s="242"/>
      <c r="D120" s="242"/>
      <c r="E120" s="242"/>
      <c r="F120" s="242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</row>
    <row r="121" spans="1:16">
      <c r="A121" s="242"/>
      <c r="B121" s="242"/>
      <c r="C121" s="242"/>
      <c r="D121" s="242"/>
      <c r="E121" s="242"/>
      <c r="F121" s="242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</row>
    <row r="122" spans="1:16">
      <c r="A122" s="242"/>
      <c r="B122" s="242"/>
      <c r="C122" s="242"/>
      <c r="D122" s="242"/>
      <c r="E122" s="242"/>
      <c r="F122" s="242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</row>
    <row r="123" spans="1:16">
      <c r="A123" s="242"/>
      <c r="B123" s="242"/>
      <c r="C123" s="242"/>
      <c r="D123" s="242"/>
      <c r="E123" s="242"/>
      <c r="F123" s="242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</row>
    <row r="124" spans="1:16">
      <c r="A124" s="242"/>
      <c r="B124" s="242"/>
      <c r="C124" s="242"/>
      <c r="D124" s="242"/>
      <c r="E124" s="242"/>
      <c r="F124" s="242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</row>
    <row r="125" spans="1:16">
      <c r="A125" s="242"/>
      <c r="B125" s="242"/>
      <c r="C125" s="242"/>
      <c r="D125" s="242"/>
      <c r="E125" s="242"/>
      <c r="F125" s="242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</row>
    <row r="126" spans="1:16">
      <c r="A126" s="242"/>
      <c r="B126" s="242"/>
      <c r="C126" s="242"/>
      <c r="D126" s="242"/>
      <c r="E126" s="242"/>
      <c r="F126" s="242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</row>
    <row r="127" spans="1:16">
      <c r="A127" s="242"/>
      <c r="B127" s="242"/>
      <c r="C127" s="242"/>
      <c r="D127" s="242"/>
      <c r="E127" s="242"/>
      <c r="F127" s="242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</row>
    <row r="128" spans="1:16">
      <c r="A128" s="242"/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</row>
    <row r="129" spans="1:16">
      <c r="A129" s="242"/>
      <c r="B129" s="242"/>
      <c r="C129" s="242"/>
      <c r="D129" s="242"/>
      <c r="E129" s="242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</row>
    <row r="130" spans="1:16">
      <c r="A130" s="242"/>
      <c r="B130" s="242"/>
      <c r="C130" s="242"/>
      <c r="D130" s="242"/>
      <c r="E130" s="242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</row>
    <row r="131" spans="1:16">
      <c r="A131" s="242"/>
      <c r="B131" s="242"/>
      <c r="C131" s="242"/>
      <c r="D131" s="242"/>
      <c r="E131" s="242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</row>
    <row r="132" spans="1:16">
      <c r="A132" s="242"/>
      <c r="B132" s="242"/>
      <c r="C132" s="242"/>
      <c r="D132" s="242"/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</row>
    <row r="133" spans="1:16">
      <c r="A133" s="242"/>
      <c r="B133" s="242"/>
      <c r="C133" s="242"/>
      <c r="D133" s="242"/>
      <c r="E133" s="242"/>
      <c r="F133" s="242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</row>
    <row r="134" spans="1:16">
      <c r="A134" s="242"/>
      <c r="B134" s="242"/>
      <c r="C134" s="242"/>
      <c r="D134" s="242"/>
      <c r="E134" s="242"/>
      <c r="F134" s="242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</row>
    <row r="135" spans="1:16">
      <c r="A135" s="242"/>
      <c r="B135" s="242"/>
      <c r="C135" s="242"/>
      <c r="D135" s="242"/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</row>
    <row r="136" spans="1:16">
      <c r="A136" s="242"/>
      <c r="B136" s="242"/>
      <c r="C136" s="242"/>
      <c r="D136" s="242"/>
      <c r="E136" s="242"/>
      <c r="F136" s="242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</row>
    <row r="137" spans="1:16">
      <c r="A137" s="242"/>
      <c r="B137" s="242"/>
      <c r="C137" s="242"/>
      <c r="D137" s="242"/>
      <c r="E137" s="242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</row>
    <row r="138" spans="1:16">
      <c r="A138" s="242"/>
      <c r="B138" s="242"/>
      <c r="C138" s="242"/>
      <c r="D138" s="242"/>
      <c r="E138" s="242"/>
      <c r="F138" s="242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</row>
    <row r="139" spans="1:16">
      <c r="A139" s="242"/>
      <c r="B139" s="242"/>
      <c r="C139" s="242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</row>
    <row r="140" spans="1:16">
      <c r="A140" s="242"/>
      <c r="B140" s="242"/>
      <c r="C140" s="242"/>
      <c r="D140" s="242"/>
      <c r="E140" s="242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</row>
    <row r="141" spans="1:16">
      <c r="A141" s="242"/>
      <c r="B141" s="242"/>
      <c r="C141" s="242"/>
      <c r="D141" s="242"/>
      <c r="E141" s="242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</row>
    <row r="142" spans="1:16">
      <c r="A142" s="242"/>
      <c r="B142" s="242"/>
      <c r="C142" s="242"/>
      <c r="D142" s="242"/>
      <c r="E142" s="242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</row>
    <row r="143" spans="1:16">
      <c r="A143" s="242"/>
      <c r="B143" s="242"/>
      <c r="C143" s="242"/>
      <c r="D143" s="242"/>
      <c r="E143" s="242"/>
      <c r="F143" s="242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</row>
    <row r="144" spans="1:16">
      <c r="A144" s="242"/>
      <c r="B144" s="242"/>
      <c r="C144" s="242"/>
      <c r="D144" s="242"/>
      <c r="E144" s="242"/>
      <c r="F144" s="242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</row>
    <row r="145" spans="1:16">
      <c r="A145" s="242"/>
      <c r="B145" s="242"/>
      <c r="C145" s="242"/>
      <c r="D145" s="242"/>
      <c r="E145" s="242"/>
      <c r="F145" s="242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</row>
    <row r="146" spans="1:16">
      <c r="A146" s="242"/>
      <c r="B146" s="242"/>
      <c r="C146" s="242"/>
      <c r="D146" s="242"/>
      <c r="E146" s="242"/>
      <c r="F146" s="242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</row>
    <row r="147" spans="1:16">
      <c r="A147" s="242"/>
      <c r="B147" s="242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</row>
    <row r="148" spans="1:16">
      <c r="A148" s="242"/>
      <c r="B148" s="242"/>
      <c r="C148" s="242"/>
      <c r="D148" s="242"/>
      <c r="E148" s="242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</row>
    <row r="149" spans="1:16">
      <c r="A149" s="242"/>
      <c r="B149" s="242"/>
      <c r="C149" s="242"/>
      <c r="D149" s="242"/>
      <c r="E149" s="242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</row>
    <row r="150" spans="1:16">
      <c r="A150" s="242"/>
      <c r="B150" s="242"/>
      <c r="C150" s="242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</row>
    <row r="151" spans="1:16">
      <c r="A151" s="242"/>
      <c r="B151" s="242"/>
      <c r="C151" s="242"/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</row>
    <row r="152" spans="1:16">
      <c r="A152" s="242"/>
      <c r="B152" s="242"/>
      <c r="C152" s="242"/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</row>
    <row r="153" spans="1:16">
      <c r="A153" s="242"/>
      <c r="B153" s="242"/>
      <c r="C153" s="242"/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</row>
    <row r="154" spans="1:16">
      <c r="A154" s="242"/>
      <c r="B154" s="242"/>
      <c r="C154" s="242"/>
      <c r="D154" s="242"/>
      <c r="E154" s="242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</row>
    <row r="155" spans="1:16">
      <c r="A155" s="242"/>
      <c r="B155" s="242"/>
      <c r="C155" s="242"/>
      <c r="D155" s="242"/>
      <c r="E155" s="242"/>
      <c r="F155" s="242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</row>
    <row r="156" spans="1:16">
      <c r="A156" s="242"/>
      <c r="B156" s="242"/>
      <c r="C156" s="242"/>
      <c r="D156" s="242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</row>
    <row r="157" spans="1:16">
      <c r="A157" s="242"/>
      <c r="B157" s="242"/>
      <c r="C157" s="242"/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</row>
    <row r="158" spans="1:16">
      <c r="A158" s="242"/>
      <c r="B158" s="242"/>
      <c r="C158" s="242"/>
      <c r="D158" s="242"/>
      <c r="E158" s="242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</row>
    <row r="159" spans="1:16">
      <c r="A159" s="242"/>
      <c r="B159" s="242"/>
      <c r="C159" s="242"/>
      <c r="D159" s="242"/>
      <c r="E159" s="242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</row>
    <row r="160" spans="1:16">
      <c r="A160" s="242"/>
      <c r="B160" s="242"/>
      <c r="C160" s="242"/>
      <c r="D160" s="242"/>
      <c r="E160" s="242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</row>
    <row r="161" spans="1:16">
      <c r="A161" s="242"/>
      <c r="B161" s="242"/>
      <c r="C161" s="242"/>
      <c r="D161" s="242"/>
      <c r="E161" s="242"/>
      <c r="F161" s="242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</row>
    <row r="162" spans="1:16">
      <c r="A162" s="242"/>
      <c r="B162" s="242"/>
      <c r="C162" s="242"/>
      <c r="D162" s="242"/>
      <c r="E162" s="242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</row>
    <row r="163" spans="1:16">
      <c r="A163" s="242"/>
      <c r="B163" s="242"/>
      <c r="C163" s="242"/>
      <c r="D163" s="242"/>
      <c r="E163" s="242"/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</row>
    <row r="164" spans="1:16">
      <c r="A164" s="242"/>
      <c r="B164" s="242"/>
      <c r="C164" s="242"/>
      <c r="D164" s="242"/>
      <c r="E164" s="242"/>
      <c r="F164" s="242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</row>
    <row r="165" spans="1:16">
      <c r="A165" s="242"/>
      <c r="B165" s="242"/>
      <c r="C165" s="242"/>
      <c r="D165" s="242"/>
      <c r="E165" s="242"/>
      <c r="F165" s="242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</row>
    <row r="166" spans="1:16">
      <c r="A166" s="242"/>
      <c r="B166" s="242"/>
      <c r="C166" s="242"/>
      <c r="D166" s="242"/>
      <c r="E166" s="242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</row>
    <row r="167" spans="1:16">
      <c r="A167" s="242"/>
      <c r="B167" s="242"/>
      <c r="C167" s="242"/>
      <c r="D167" s="242"/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</row>
    <row r="168" spans="1:16">
      <c r="A168" s="242"/>
      <c r="B168" s="242"/>
      <c r="C168" s="242"/>
      <c r="D168" s="242"/>
      <c r="E168" s="242"/>
      <c r="F168" s="242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</row>
    <row r="169" spans="1:16">
      <c r="A169" s="242"/>
      <c r="B169" s="242"/>
      <c r="C169" s="242"/>
      <c r="D169" s="242"/>
      <c r="E169" s="242"/>
      <c r="F169" s="242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</row>
    <row r="170" spans="1:16">
      <c r="A170" s="242"/>
      <c r="B170" s="242"/>
      <c r="C170" s="242"/>
      <c r="D170" s="242"/>
      <c r="E170" s="242"/>
      <c r="F170" s="242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</row>
    <row r="171" spans="1:16">
      <c r="A171" s="242"/>
      <c r="B171" s="242"/>
      <c r="C171" s="242"/>
      <c r="D171" s="242"/>
      <c r="E171" s="242"/>
      <c r="F171" s="242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</row>
    <row r="172" spans="1:16">
      <c r="A172" s="242"/>
      <c r="B172" s="242"/>
      <c r="C172" s="242"/>
      <c r="D172" s="242"/>
      <c r="E172" s="242"/>
      <c r="F172" s="242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</row>
    <row r="173" spans="1:16">
      <c r="A173" s="242"/>
      <c r="B173" s="242"/>
      <c r="C173" s="242"/>
      <c r="D173" s="242"/>
      <c r="E173" s="242"/>
      <c r="F173" s="242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</row>
    <row r="174" spans="1:16">
      <c r="A174" s="242"/>
      <c r="B174" s="242"/>
      <c r="C174" s="242"/>
      <c r="D174" s="242"/>
      <c r="E174" s="242"/>
      <c r="F174" s="242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</row>
    <row r="175" spans="1:16">
      <c r="A175" s="242"/>
      <c r="B175" s="242"/>
      <c r="C175" s="242"/>
      <c r="D175" s="242"/>
      <c r="E175" s="242"/>
      <c r="F175" s="242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</row>
    <row r="176" spans="1:16">
      <c r="A176" s="242"/>
      <c r="B176" s="242"/>
      <c r="C176" s="242"/>
      <c r="D176" s="242"/>
      <c r="E176" s="242"/>
      <c r="F176" s="242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</row>
    <row r="177" spans="1:16">
      <c r="A177" s="242"/>
      <c r="B177" s="242"/>
      <c r="C177" s="242"/>
      <c r="D177" s="242"/>
      <c r="E177" s="242"/>
      <c r="F177" s="242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</row>
    <row r="178" spans="1:16">
      <c r="A178" s="242"/>
      <c r="B178" s="242"/>
      <c r="C178" s="242"/>
      <c r="D178" s="242"/>
      <c r="E178" s="242"/>
      <c r="F178" s="242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</row>
    <row r="179" spans="1:16">
      <c r="A179" s="242"/>
      <c r="B179" s="242"/>
      <c r="C179" s="242"/>
      <c r="D179" s="242"/>
      <c r="E179" s="242"/>
      <c r="F179" s="242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</row>
    <row r="180" spans="1:16">
      <c r="A180" s="242"/>
      <c r="B180" s="242"/>
      <c r="C180" s="242"/>
      <c r="D180" s="242"/>
      <c r="E180" s="242"/>
      <c r="F180" s="242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</row>
    <row r="181" spans="1:16">
      <c r="A181" s="242"/>
      <c r="B181" s="242"/>
      <c r="C181" s="242"/>
      <c r="D181" s="242"/>
      <c r="E181" s="242"/>
      <c r="F181" s="242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</row>
    <row r="182" spans="1:16">
      <c r="A182" s="242"/>
      <c r="B182" s="242"/>
      <c r="C182" s="242"/>
      <c r="D182" s="242"/>
      <c r="E182" s="242"/>
      <c r="F182" s="242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</row>
  </sheetData>
  <mergeCells count="9">
    <mergeCell ref="I25:I27"/>
    <mergeCell ref="J25:J27"/>
    <mergeCell ref="K25:K27"/>
    <mergeCell ref="L25:L27"/>
    <mergeCell ref="A1:H1"/>
    <mergeCell ref="D25:D27"/>
    <mergeCell ref="E25:E27"/>
    <mergeCell ref="G25:G27"/>
    <mergeCell ref="H25:H2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72"/>
  <sheetViews>
    <sheetView showGridLines="0" workbookViewId="0">
      <selection activeCell="C16" sqref="C16"/>
    </sheetView>
  </sheetViews>
  <sheetFormatPr baseColWidth="10" defaultRowHeight="12.75"/>
  <cols>
    <col min="1" max="1" width="25" style="9" customWidth="1"/>
    <col min="2" max="2" width="11.7109375" style="9" customWidth="1"/>
    <col min="3" max="3" width="12.28515625" style="9" customWidth="1"/>
    <col min="4" max="4" width="12.42578125" style="9" customWidth="1"/>
    <col min="5" max="6" width="12" style="9" customWidth="1"/>
    <col min="7" max="7" width="11.5703125" style="9" customWidth="1"/>
    <col min="8" max="8" width="11.42578125" style="9" customWidth="1"/>
    <col min="9" max="11" width="12.140625" style="9" customWidth="1"/>
    <col min="12" max="15" width="12" style="9" customWidth="1"/>
    <col min="16" max="16" width="11.85546875" style="9" customWidth="1"/>
    <col min="17" max="17" width="12" style="9" customWidth="1"/>
    <col min="18" max="18" width="12.140625" style="9" customWidth="1"/>
    <col min="19" max="19" width="12.28515625" style="9" customWidth="1"/>
    <col min="20" max="25" width="11.85546875" style="9" customWidth="1"/>
    <col min="26" max="16384" width="11.42578125" style="9"/>
  </cols>
  <sheetData>
    <row r="1" spans="1:36">
      <c r="A1" s="80" t="s">
        <v>82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1">
        <f>25*0.18</f>
        <v>4.5</v>
      </c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</row>
    <row r="2" spans="1:36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</row>
    <row r="3" spans="1:36" ht="30" customHeight="1">
      <c r="A3" s="83" t="s">
        <v>83</v>
      </c>
      <c r="B3" s="83">
        <v>1</v>
      </c>
      <c r="C3" s="83">
        <v>2</v>
      </c>
      <c r="D3" s="83">
        <v>3</v>
      </c>
      <c r="E3" s="83">
        <v>4</v>
      </c>
      <c r="F3" s="83">
        <v>5</v>
      </c>
      <c r="G3" s="83">
        <v>6</v>
      </c>
      <c r="H3" s="83">
        <v>7</v>
      </c>
      <c r="I3" s="83">
        <v>8</v>
      </c>
      <c r="J3" s="83">
        <v>9</v>
      </c>
      <c r="K3" s="83">
        <v>10</v>
      </c>
      <c r="L3" s="83">
        <v>11</v>
      </c>
      <c r="M3" s="83">
        <v>12</v>
      </c>
      <c r="N3" s="83">
        <v>13</v>
      </c>
      <c r="O3" s="83">
        <v>14</v>
      </c>
      <c r="P3" s="83">
        <v>15</v>
      </c>
      <c r="Q3" s="83">
        <v>16</v>
      </c>
      <c r="R3" s="83">
        <v>17</v>
      </c>
      <c r="S3" s="83">
        <v>18</v>
      </c>
      <c r="T3" s="83">
        <v>19</v>
      </c>
      <c r="U3" s="83">
        <v>20</v>
      </c>
      <c r="V3" s="83">
        <v>21</v>
      </c>
      <c r="W3" s="83">
        <v>22</v>
      </c>
      <c r="X3" s="83">
        <v>23</v>
      </c>
      <c r="Y3" s="83">
        <v>24</v>
      </c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</row>
    <row r="4" spans="1:36">
      <c r="A4" s="74" t="s">
        <v>90</v>
      </c>
      <c r="B4" s="73">
        <f t="shared" ref="B4:G4" si="0">B13+B5</f>
        <v>12849.5725</v>
      </c>
      <c r="C4" s="73">
        <f t="shared" si="0"/>
        <v>12849.5725</v>
      </c>
      <c r="D4" s="73">
        <f t="shared" si="0"/>
        <v>12849.5725</v>
      </c>
      <c r="E4" s="73">
        <f t="shared" si="0"/>
        <v>12849.5725</v>
      </c>
      <c r="F4" s="73">
        <f t="shared" si="0"/>
        <v>12849.5725</v>
      </c>
      <c r="G4" s="73">
        <f t="shared" si="0"/>
        <v>12849.5725</v>
      </c>
      <c r="H4" s="73">
        <f t="shared" ref="H4:Y4" si="1">H13+H5</f>
        <v>16512.392500000002</v>
      </c>
      <c r="I4" s="73">
        <f t="shared" si="1"/>
        <v>12849.5725</v>
      </c>
      <c r="J4" s="73">
        <f t="shared" si="1"/>
        <v>12849.5725</v>
      </c>
      <c r="K4" s="73">
        <f t="shared" si="1"/>
        <v>12849.5725</v>
      </c>
      <c r="L4" s="73">
        <f t="shared" si="1"/>
        <v>12849.5725</v>
      </c>
      <c r="M4" s="73">
        <f t="shared" si="1"/>
        <v>16512.392500000002</v>
      </c>
      <c r="N4" s="73">
        <f t="shared" si="1"/>
        <v>12849.5725</v>
      </c>
      <c r="O4" s="73">
        <f t="shared" si="1"/>
        <v>12849.5725</v>
      </c>
      <c r="P4" s="73">
        <f t="shared" si="1"/>
        <v>12849.5725</v>
      </c>
      <c r="Q4" s="73">
        <f t="shared" si="1"/>
        <v>12849.5725</v>
      </c>
      <c r="R4" s="73">
        <f t="shared" si="1"/>
        <v>12849.5725</v>
      </c>
      <c r="S4" s="73">
        <f t="shared" si="1"/>
        <v>12849.5725</v>
      </c>
      <c r="T4" s="73">
        <f t="shared" si="1"/>
        <v>16512.392500000002</v>
      </c>
      <c r="U4" s="73">
        <f t="shared" si="1"/>
        <v>12849.5725</v>
      </c>
      <c r="V4" s="73">
        <f t="shared" si="1"/>
        <v>12849.5725</v>
      </c>
      <c r="W4" s="73">
        <f t="shared" si="1"/>
        <v>12849.5725</v>
      </c>
      <c r="X4" s="73">
        <f t="shared" si="1"/>
        <v>12849.5725</v>
      </c>
      <c r="Y4" s="73">
        <f t="shared" si="1"/>
        <v>16512.392500000002</v>
      </c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</row>
    <row r="5" spans="1:36">
      <c r="A5" s="71" t="s">
        <v>84</v>
      </c>
      <c r="B5" s="70">
        <f t="shared" ref="B5:G5" si="2">B6+B9</f>
        <v>11689.5725</v>
      </c>
      <c r="C5" s="70">
        <f t="shared" si="2"/>
        <v>11689.5725</v>
      </c>
      <c r="D5" s="70">
        <f t="shared" si="2"/>
        <v>11689.5725</v>
      </c>
      <c r="E5" s="70">
        <f t="shared" si="2"/>
        <v>11689.5725</v>
      </c>
      <c r="F5" s="70">
        <f t="shared" si="2"/>
        <v>11689.5725</v>
      </c>
      <c r="G5" s="70">
        <f t="shared" si="2"/>
        <v>11689.5725</v>
      </c>
      <c r="H5" s="70">
        <f t="shared" ref="H5:Y5" si="3">H6+H9</f>
        <v>15352.3925</v>
      </c>
      <c r="I5" s="70">
        <f t="shared" si="3"/>
        <v>11689.5725</v>
      </c>
      <c r="J5" s="70">
        <f t="shared" si="3"/>
        <v>11689.5725</v>
      </c>
      <c r="K5" s="70">
        <f t="shared" si="3"/>
        <v>11689.5725</v>
      </c>
      <c r="L5" s="70">
        <f t="shared" si="3"/>
        <v>11689.5725</v>
      </c>
      <c r="M5" s="70">
        <f t="shared" si="3"/>
        <v>15352.3925</v>
      </c>
      <c r="N5" s="70">
        <f t="shared" si="3"/>
        <v>11689.5725</v>
      </c>
      <c r="O5" s="70">
        <f t="shared" si="3"/>
        <v>11689.5725</v>
      </c>
      <c r="P5" s="70">
        <f t="shared" si="3"/>
        <v>11689.5725</v>
      </c>
      <c r="Q5" s="70">
        <f t="shared" si="3"/>
        <v>11689.5725</v>
      </c>
      <c r="R5" s="70">
        <f t="shared" si="3"/>
        <v>11689.5725</v>
      </c>
      <c r="S5" s="70">
        <f t="shared" si="3"/>
        <v>11689.5725</v>
      </c>
      <c r="T5" s="70">
        <f t="shared" si="3"/>
        <v>15352.3925</v>
      </c>
      <c r="U5" s="70">
        <f t="shared" si="3"/>
        <v>11689.5725</v>
      </c>
      <c r="V5" s="70">
        <f t="shared" si="3"/>
        <v>11689.5725</v>
      </c>
      <c r="W5" s="70">
        <f t="shared" si="3"/>
        <v>11689.5725</v>
      </c>
      <c r="X5" s="70">
        <f t="shared" si="3"/>
        <v>11689.5725</v>
      </c>
      <c r="Y5" s="70">
        <f t="shared" si="3"/>
        <v>15352.3925</v>
      </c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</row>
    <row r="6" spans="1:36">
      <c r="A6" s="69" t="s">
        <v>344</v>
      </c>
      <c r="B6" s="70">
        <f t="shared" ref="B6:G6" si="4">B7</f>
        <v>8026.7525000000005</v>
      </c>
      <c r="C6" s="70">
        <f t="shared" si="4"/>
        <v>8026.7525000000005</v>
      </c>
      <c r="D6" s="70">
        <f t="shared" si="4"/>
        <v>8026.7525000000005</v>
      </c>
      <c r="E6" s="70">
        <f t="shared" si="4"/>
        <v>8026.7525000000005</v>
      </c>
      <c r="F6" s="70">
        <f t="shared" si="4"/>
        <v>8026.7525000000005</v>
      </c>
      <c r="G6" s="70">
        <f t="shared" si="4"/>
        <v>8026.7525000000005</v>
      </c>
      <c r="H6" s="70">
        <f t="shared" ref="H6:Y6" si="5">H7</f>
        <v>8026.7525000000005</v>
      </c>
      <c r="I6" s="70">
        <f t="shared" si="5"/>
        <v>8026.7525000000005</v>
      </c>
      <c r="J6" s="70">
        <f t="shared" si="5"/>
        <v>8026.7525000000005</v>
      </c>
      <c r="K6" s="70">
        <f t="shared" si="5"/>
        <v>8026.7525000000005</v>
      </c>
      <c r="L6" s="70">
        <f t="shared" si="5"/>
        <v>8026.7525000000005</v>
      </c>
      <c r="M6" s="70">
        <f t="shared" si="5"/>
        <v>8026.7525000000005</v>
      </c>
      <c r="N6" s="70">
        <f t="shared" si="5"/>
        <v>8026.7525000000005</v>
      </c>
      <c r="O6" s="70">
        <f t="shared" si="5"/>
        <v>8026.7525000000005</v>
      </c>
      <c r="P6" s="70">
        <f t="shared" si="5"/>
        <v>8026.7525000000005</v>
      </c>
      <c r="Q6" s="70">
        <f t="shared" si="5"/>
        <v>8026.7525000000005</v>
      </c>
      <c r="R6" s="70">
        <f t="shared" si="5"/>
        <v>8026.7525000000005</v>
      </c>
      <c r="S6" s="70">
        <f t="shared" si="5"/>
        <v>8026.7525000000005</v>
      </c>
      <c r="T6" s="70">
        <f t="shared" si="5"/>
        <v>8026.7525000000005</v>
      </c>
      <c r="U6" s="70">
        <f t="shared" si="5"/>
        <v>8026.7525000000005</v>
      </c>
      <c r="V6" s="70">
        <f t="shared" si="5"/>
        <v>8026.7525000000005</v>
      </c>
      <c r="W6" s="70">
        <f t="shared" si="5"/>
        <v>8026.7525000000005</v>
      </c>
      <c r="X6" s="70">
        <f t="shared" si="5"/>
        <v>8026.7525000000005</v>
      </c>
      <c r="Y6" s="70">
        <f t="shared" si="5"/>
        <v>8026.7525000000005</v>
      </c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</row>
    <row r="7" spans="1:36">
      <c r="A7" s="72" t="s">
        <v>345</v>
      </c>
      <c r="B7" s="70">
        <f>'INVERSION TOTAL'!E42+'INVERSION TOTAL'!E50+'INVERSION TOTAL'!E57+'INVERSION TOTAL'!E66+'INVERSION TOTAL'!E73</f>
        <v>8026.7525000000005</v>
      </c>
      <c r="C7" s="70">
        <f t="shared" ref="C7:H7" si="6">B7</f>
        <v>8026.7525000000005</v>
      </c>
      <c r="D7" s="70">
        <f t="shared" si="6"/>
        <v>8026.7525000000005</v>
      </c>
      <c r="E7" s="70">
        <f t="shared" si="6"/>
        <v>8026.7525000000005</v>
      </c>
      <c r="F7" s="70">
        <f t="shared" si="6"/>
        <v>8026.7525000000005</v>
      </c>
      <c r="G7" s="70">
        <f t="shared" si="6"/>
        <v>8026.7525000000005</v>
      </c>
      <c r="H7" s="70">
        <f t="shared" si="6"/>
        <v>8026.7525000000005</v>
      </c>
      <c r="I7" s="70">
        <f t="shared" ref="I7:Y7" si="7">H7</f>
        <v>8026.7525000000005</v>
      </c>
      <c r="J7" s="70">
        <f t="shared" si="7"/>
        <v>8026.7525000000005</v>
      </c>
      <c r="K7" s="70">
        <f t="shared" si="7"/>
        <v>8026.7525000000005</v>
      </c>
      <c r="L7" s="70">
        <f t="shared" si="7"/>
        <v>8026.7525000000005</v>
      </c>
      <c r="M7" s="70">
        <f t="shared" si="7"/>
        <v>8026.7525000000005</v>
      </c>
      <c r="N7" s="70">
        <f t="shared" si="7"/>
        <v>8026.7525000000005</v>
      </c>
      <c r="O7" s="70">
        <f t="shared" si="7"/>
        <v>8026.7525000000005</v>
      </c>
      <c r="P7" s="70">
        <f t="shared" si="7"/>
        <v>8026.7525000000005</v>
      </c>
      <c r="Q7" s="70">
        <f t="shared" si="7"/>
        <v>8026.7525000000005</v>
      </c>
      <c r="R7" s="70">
        <f t="shared" si="7"/>
        <v>8026.7525000000005</v>
      </c>
      <c r="S7" s="70">
        <f t="shared" si="7"/>
        <v>8026.7525000000005</v>
      </c>
      <c r="T7" s="70">
        <f t="shared" si="7"/>
        <v>8026.7525000000005</v>
      </c>
      <c r="U7" s="70">
        <f t="shared" si="7"/>
        <v>8026.7525000000005</v>
      </c>
      <c r="V7" s="70">
        <f t="shared" si="7"/>
        <v>8026.7525000000005</v>
      </c>
      <c r="W7" s="70">
        <f t="shared" si="7"/>
        <v>8026.7525000000005</v>
      </c>
      <c r="X7" s="70">
        <f t="shared" si="7"/>
        <v>8026.7525000000005</v>
      </c>
      <c r="Y7" s="70">
        <f t="shared" si="7"/>
        <v>8026.7525000000005</v>
      </c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</row>
    <row r="8" spans="1:36">
      <c r="A8" s="72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</row>
    <row r="9" spans="1:36">
      <c r="A9" s="69" t="s">
        <v>100</v>
      </c>
      <c r="B9" s="70">
        <f t="shared" ref="B9:G9" si="8">B10+B11</f>
        <v>3662.8199999999997</v>
      </c>
      <c r="C9" s="70">
        <f t="shared" si="8"/>
        <v>3662.8199999999997</v>
      </c>
      <c r="D9" s="70">
        <f t="shared" si="8"/>
        <v>3662.8199999999997</v>
      </c>
      <c r="E9" s="70">
        <f t="shared" si="8"/>
        <v>3662.8199999999997</v>
      </c>
      <c r="F9" s="70">
        <f t="shared" si="8"/>
        <v>3662.8199999999997</v>
      </c>
      <c r="G9" s="70">
        <f t="shared" si="8"/>
        <v>3662.8199999999997</v>
      </c>
      <c r="H9" s="70">
        <f t="shared" ref="H9:Y9" si="9">H10+H11</f>
        <v>7325.6399999999994</v>
      </c>
      <c r="I9" s="70">
        <f t="shared" si="9"/>
        <v>3662.8199999999997</v>
      </c>
      <c r="J9" s="70">
        <f t="shared" si="9"/>
        <v>3662.8199999999997</v>
      </c>
      <c r="K9" s="70">
        <f t="shared" si="9"/>
        <v>3662.8199999999997</v>
      </c>
      <c r="L9" s="70">
        <f t="shared" si="9"/>
        <v>3662.8199999999997</v>
      </c>
      <c r="M9" s="70">
        <f t="shared" si="9"/>
        <v>7325.6399999999994</v>
      </c>
      <c r="N9" s="70">
        <f t="shared" si="9"/>
        <v>3662.8199999999997</v>
      </c>
      <c r="O9" s="70">
        <f t="shared" si="9"/>
        <v>3662.8199999999997</v>
      </c>
      <c r="P9" s="70">
        <f t="shared" si="9"/>
        <v>3662.8199999999997</v>
      </c>
      <c r="Q9" s="70">
        <f t="shared" si="9"/>
        <v>3662.8199999999997</v>
      </c>
      <c r="R9" s="70">
        <f t="shared" si="9"/>
        <v>3662.8199999999997</v>
      </c>
      <c r="S9" s="70">
        <f t="shared" si="9"/>
        <v>3662.8199999999997</v>
      </c>
      <c r="T9" s="70">
        <f t="shared" si="9"/>
        <v>7325.6399999999994</v>
      </c>
      <c r="U9" s="70">
        <f t="shared" si="9"/>
        <v>3662.8199999999997</v>
      </c>
      <c r="V9" s="70">
        <f t="shared" si="9"/>
        <v>3662.8199999999997</v>
      </c>
      <c r="W9" s="70">
        <f t="shared" si="9"/>
        <v>3662.8199999999997</v>
      </c>
      <c r="X9" s="70">
        <f t="shared" si="9"/>
        <v>3662.8199999999997</v>
      </c>
      <c r="Y9" s="70">
        <f t="shared" si="9"/>
        <v>7325.6399999999994</v>
      </c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</row>
    <row r="10" spans="1:36">
      <c r="A10" s="72" t="s">
        <v>98</v>
      </c>
      <c r="B10" s="70">
        <f>SUM('PLANILLA DE EMPLEADOS'!I6:I9)</f>
        <v>3662.8199999999997</v>
      </c>
      <c r="C10" s="70">
        <f t="shared" ref="C10:H10" si="10">B10</f>
        <v>3662.8199999999997</v>
      </c>
      <c r="D10" s="70">
        <f t="shared" si="10"/>
        <v>3662.8199999999997</v>
      </c>
      <c r="E10" s="70">
        <f t="shared" si="10"/>
        <v>3662.8199999999997</v>
      </c>
      <c r="F10" s="70">
        <f t="shared" si="10"/>
        <v>3662.8199999999997</v>
      </c>
      <c r="G10" s="70">
        <f t="shared" si="10"/>
        <v>3662.8199999999997</v>
      </c>
      <c r="H10" s="70">
        <f t="shared" si="10"/>
        <v>3662.8199999999997</v>
      </c>
      <c r="I10" s="70">
        <f t="shared" ref="I10:Y10" si="11">H10</f>
        <v>3662.8199999999997</v>
      </c>
      <c r="J10" s="70">
        <f t="shared" si="11"/>
        <v>3662.8199999999997</v>
      </c>
      <c r="K10" s="70">
        <f t="shared" si="11"/>
        <v>3662.8199999999997</v>
      </c>
      <c r="L10" s="70">
        <f t="shared" si="11"/>
        <v>3662.8199999999997</v>
      </c>
      <c r="M10" s="70">
        <f t="shared" si="11"/>
        <v>3662.8199999999997</v>
      </c>
      <c r="N10" s="70">
        <f t="shared" si="11"/>
        <v>3662.8199999999997</v>
      </c>
      <c r="O10" s="70">
        <f t="shared" si="11"/>
        <v>3662.8199999999997</v>
      </c>
      <c r="P10" s="70">
        <f t="shared" si="11"/>
        <v>3662.8199999999997</v>
      </c>
      <c r="Q10" s="70">
        <f t="shared" si="11"/>
        <v>3662.8199999999997</v>
      </c>
      <c r="R10" s="70">
        <f t="shared" si="11"/>
        <v>3662.8199999999997</v>
      </c>
      <c r="S10" s="70">
        <f t="shared" si="11"/>
        <v>3662.8199999999997</v>
      </c>
      <c r="T10" s="70">
        <f t="shared" si="11"/>
        <v>3662.8199999999997</v>
      </c>
      <c r="U10" s="70">
        <f t="shared" si="11"/>
        <v>3662.8199999999997</v>
      </c>
      <c r="V10" s="70">
        <f t="shared" si="11"/>
        <v>3662.8199999999997</v>
      </c>
      <c r="W10" s="70">
        <f t="shared" si="11"/>
        <v>3662.8199999999997</v>
      </c>
      <c r="X10" s="70">
        <f t="shared" si="11"/>
        <v>3662.8199999999997</v>
      </c>
      <c r="Y10" s="70">
        <f t="shared" si="11"/>
        <v>3662.8199999999997</v>
      </c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</row>
    <row r="11" spans="1:36">
      <c r="A11" s="69" t="s">
        <v>99</v>
      </c>
      <c r="B11" s="70"/>
      <c r="C11" s="70"/>
      <c r="D11" s="70"/>
      <c r="E11" s="70"/>
      <c r="F11" s="70"/>
      <c r="G11" s="70"/>
      <c r="H11" s="70">
        <f>B10</f>
        <v>3662.8199999999997</v>
      </c>
      <c r="I11" s="70"/>
      <c r="J11" s="70"/>
      <c r="K11" s="70"/>
      <c r="L11" s="70"/>
      <c r="M11" s="70">
        <f>B10</f>
        <v>3662.8199999999997</v>
      </c>
      <c r="N11" s="70"/>
      <c r="O11" s="70"/>
      <c r="P11" s="70"/>
      <c r="Q11" s="70"/>
      <c r="R11" s="70"/>
      <c r="S11" s="70"/>
      <c r="T11" s="70">
        <f>B10</f>
        <v>3662.8199999999997</v>
      </c>
      <c r="U11" s="70"/>
      <c r="V11" s="70"/>
      <c r="W11" s="70"/>
      <c r="X11" s="70"/>
      <c r="Y11" s="70">
        <f>B10</f>
        <v>3662.8199999999997</v>
      </c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</row>
    <row r="12" spans="1:36">
      <c r="A12" s="69"/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</row>
    <row r="13" spans="1:36">
      <c r="A13" s="71" t="s">
        <v>86</v>
      </c>
      <c r="B13" s="70">
        <f t="shared" ref="B13:G13" si="12">SUM(B14:B18)</f>
        <v>1160</v>
      </c>
      <c r="C13" s="70">
        <f t="shared" si="12"/>
        <v>1160</v>
      </c>
      <c r="D13" s="70">
        <f t="shared" si="12"/>
        <v>1160</v>
      </c>
      <c r="E13" s="70">
        <f t="shared" si="12"/>
        <v>1160</v>
      </c>
      <c r="F13" s="70">
        <f t="shared" si="12"/>
        <v>1160</v>
      </c>
      <c r="G13" s="70">
        <f t="shared" si="12"/>
        <v>1160</v>
      </c>
      <c r="H13" s="70">
        <f t="shared" ref="H13:Y13" si="13">SUM(H14:H18)</f>
        <v>1160</v>
      </c>
      <c r="I13" s="70">
        <f t="shared" si="13"/>
        <v>1160</v>
      </c>
      <c r="J13" s="70">
        <f t="shared" si="13"/>
        <v>1160</v>
      </c>
      <c r="K13" s="70">
        <f t="shared" si="13"/>
        <v>1160</v>
      </c>
      <c r="L13" s="70">
        <f t="shared" si="13"/>
        <v>1160</v>
      </c>
      <c r="M13" s="70">
        <f t="shared" si="13"/>
        <v>1160</v>
      </c>
      <c r="N13" s="70">
        <f t="shared" si="13"/>
        <v>1160</v>
      </c>
      <c r="O13" s="70">
        <f t="shared" si="13"/>
        <v>1160</v>
      </c>
      <c r="P13" s="70">
        <f t="shared" si="13"/>
        <v>1160</v>
      </c>
      <c r="Q13" s="70">
        <f t="shared" si="13"/>
        <v>1160</v>
      </c>
      <c r="R13" s="70">
        <f t="shared" si="13"/>
        <v>1160</v>
      </c>
      <c r="S13" s="70">
        <f t="shared" si="13"/>
        <v>1160</v>
      </c>
      <c r="T13" s="70">
        <f t="shared" si="13"/>
        <v>1160</v>
      </c>
      <c r="U13" s="70">
        <f t="shared" si="13"/>
        <v>1160</v>
      </c>
      <c r="V13" s="70">
        <f t="shared" si="13"/>
        <v>1160</v>
      </c>
      <c r="W13" s="70">
        <f t="shared" si="13"/>
        <v>1160</v>
      </c>
      <c r="X13" s="70">
        <f t="shared" si="13"/>
        <v>1160</v>
      </c>
      <c r="Y13" s="70">
        <f t="shared" si="13"/>
        <v>1160</v>
      </c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</row>
    <row r="14" spans="1:36">
      <c r="A14" s="72" t="str">
        <f>+'GASTOS INDIRECTOS'!A6</f>
        <v>alquiler de local</v>
      </c>
      <c r="B14" s="70">
        <f>(+'GASTOS INDIRECTOS'!$E$6)</f>
        <v>600</v>
      </c>
      <c r="C14" s="70">
        <f t="shared" ref="C14:H14" si="14">B14</f>
        <v>600</v>
      </c>
      <c r="D14" s="70">
        <f t="shared" si="14"/>
        <v>600</v>
      </c>
      <c r="E14" s="70">
        <f t="shared" si="14"/>
        <v>600</v>
      </c>
      <c r="F14" s="70">
        <f t="shared" si="14"/>
        <v>600</v>
      </c>
      <c r="G14" s="70">
        <f t="shared" si="14"/>
        <v>600</v>
      </c>
      <c r="H14" s="70">
        <f t="shared" si="14"/>
        <v>600</v>
      </c>
      <c r="I14" s="70">
        <f t="shared" ref="I14:Y14" si="15">H14</f>
        <v>600</v>
      </c>
      <c r="J14" s="70">
        <f t="shared" si="15"/>
        <v>600</v>
      </c>
      <c r="K14" s="70">
        <f t="shared" si="15"/>
        <v>600</v>
      </c>
      <c r="L14" s="70">
        <f t="shared" si="15"/>
        <v>600</v>
      </c>
      <c r="M14" s="70">
        <f t="shared" si="15"/>
        <v>600</v>
      </c>
      <c r="N14" s="70">
        <f t="shared" si="15"/>
        <v>600</v>
      </c>
      <c r="O14" s="70">
        <f t="shared" si="15"/>
        <v>600</v>
      </c>
      <c r="P14" s="70">
        <f t="shared" si="15"/>
        <v>600</v>
      </c>
      <c r="Q14" s="70">
        <f t="shared" si="15"/>
        <v>600</v>
      </c>
      <c r="R14" s="70">
        <f t="shared" si="15"/>
        <v>600</v>
      </c>
      <c r="S14" s="70">
        <f t="shared" si="15"/>
        <v>600</v>
      </c>
      <c r="T14" s="70">
        <f t="shared" si="15"/>
        <v>600</v>
      </c>
      <c r="U14" s="70">
        <f t="shared" si="15"/>
        <v>600</v>
      </c>
      <c r="V14" s="70">
        <f t="shared" si="15"/>
        <v>600</v>
      </c>
      <c r="W14" s="70">
        <f t="shared" si="15"/>
        <v>600</v>
      </c>
      <c r="X14" s="70">
        <f t="shared" si="15"/>
        <v>600</v>
      </c>
      <c r="Y14" s="70">
        <f t="shared" si="15"/>
        <v>600</v>
      </c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</row>
    <row r="15" spans="1:36">
      <c r="A15" s="72" t="str">
        <f>+'GASTOS INDIRECTOS'!A7</f>
        <v>Luz y agua</v>
      </c>
      <c r="B15" s="70">
        <f>(+'GASTOS INDIRECTOS'!$E$7)</f>
        <v>300</v>
      </c>
      <c r="C15" s="70">
        <f>B15</f>
        <v>300</v>
      </c>
      <c r="D15" s="70">
        <f>B15</f>
        <v>300</v>
      </c>
      <c r="E15" s="70">
        <f>D15</f>
        <v>300</v>
      </c>
      <c r="F15" s="70">
        <f>D15</f>
        <v>300</v>
      </c>
      <c r="G15" s="70">
        <f>F15</f>
        <v>300</v>
      </c>
      <c r="H15" s="70">
        <f>F15</f>
        <v>300</v>
      </c>
      <c r="I15" s="70">
        <f t="shared" ref="I15" si="16">H15</f>
        <v>300</v>
      </c>
      <c r="J15" s="70">
        <f t="shared" ref="J15:J18" si="17">H15</f>
        <v>300</v>
      </c>
      <c r="K15" s="70">
        <f t="shared" ref="K15" si="18">J15</f>
        <v>300</v>
      </c>
      <c r="L15" s="70">
        <f t="shared" ref="L15:L18" si="19">J15</f>
        <v>300</v>
      </c>
      <c r="M15" s="70">
        <f t="shared" ref="M15" si="20">L15</f>
        <v>300</v>
      </c>
      <c r="N15" s="70">
        <f t="shared" ref="N15:N18" si="21">L15</f>
        <v>300</v>
      </c>
      <c r="O15" s="70">
        <f t="shared" ref="O15" si="22">N15</f>
        <v>300</v>
      </c>
      <c r="P15" s="70">
        <f t="shared" ref="P15:P18" si="23">N15</f>
        <v>300</v>
      </c>
      <c r="Q15" s="70">
        <f t="shared" ref="Q15" si="24">P15</f>
        <v>300</v>
      </c>
      <c r="R15" s="70">
        <f t="shared" ref="R15:R18" si="25">P15</f>
        <v>300</v>
      </c>
      <c r="S15" s="70">
        <f t="shared" ref="S15" si="26">R15</f>
        <v>300</v>
      </c>
      <c r="T15" s="70">
        <f t="shared" ref="T15:T18" si="27">R15</f>
        <v>300</v>
      </c>
      <c r="U15" s="70">
        <f t="shared" ref="U15" si="28">T15</f>
        <v>300</v>
      </c>
      <c r="V15" s="70">
        <f t="shared" ref="V15:V18" si="29">T15</f>
        <v>300</v>
      </c>
      <c r="W15" s="70">
        <f t="shared" ref="W15" si="30">V15</f>
        <v>300</v>
      </c>
      <c r="X15" s="70">
        <f t="shared" ref="X15:X18" si="31">V15</f>
        <v>300</v>
      </c>
      <c r="Y15" s="70">
        <f t="shared" ref="Y15:Y16" si="32">X15</f>
        <v>300</v>
      </c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</row>
    <row r="16" spans="1:36">
      <c r="A16" s="72" t="str">
        <f>+'GASTOS INDIRECTOS'!A8</f>
        <v>Telefono</v>
      </c>
      <c r="B16" s="70">
        <f>(+'GASTOS INDIRECTOS'!$E$8)</f>
        <v>50</v>
      </c>
      <c r="C16" s="70">
        <f>B16</f>
        <v>50</v>
      </c>
      <c r="D16" s="70">
        <f>B16</f>
        <v>50</v>
      </c>
      <c r="E16" s="70">
        <f>D16</f>
        <v>50</v>
      </c>
      <c r="F16" s="70">
        <f>D16</f>
        <v>50</v>
      </c>
      <c r="G16" s="70">
        <f>F16</f>
        <v>50</v>
      </c>
      <c r="H16" s="70">
        <f>F16</f>
        <v>50</v>
      </c>
      <c r="I16" s="70">
        <f t="shared" ref="I16" si="33">H16</f>
        <v>50</v>
      </c>
      <c r="J16" s="70">
        <f t="shared" si="17"/>
        <v>50</v>
      </c>
      <c r="K16" s="70">
        <f t="shared" ref="K16" si="34">J16</f>
        <v>50</v>
      </c>
      <c r="L16" s="70">
        <f t="shared" si="19"/>
        <v>50</v>
      </c>
      <c r="M16" s="70">
        <f t="shared" ref="M16" si="35">L16</f>
        <v>50</v>
      </c>
      <c r="N16" s="70">
        <f t="shared" si="21"/>
        <v>50</v>
      </c>
      <c r="O16" s="70">
        <f t="shared" ref="O16" si="36">N16</f>
        <v>50</v>
      </c>
      <c r="P16" s="70">
        <f t="shared" si="23"/>
        <v>50</v>
      </c>
      <c r="Q16" s="70">
        <f t="shared" ref="Q16" si="37">P16</f>
        <v>50</v>
      </c>
      <c r="R16" s="70">
        <f t="shared" si="25"/>
        <v>50</v>
      </c>
      <c r="S16" s="70">
        <f t="shared" ref="S16:Y18" si="38">R16</f>
        <v>50</v>
      </c>
      <c r="T16" s="70">
        <f t="shared" si="27"/>
        <v>50</v>
      </c>
      <c r="U16" s="70">
        <f t="shared" ref="U16" si="39">T16</f>
        <v>50</v>
      </c>
      <c r="V16" s="70">
        <f t="shared" si="29"/>
        <v>50</v>
      </c>
      <c r="W16" s="70">
        <f t="shared" ref="W16" si="40">V16</f>
        <v>50</v>
      </c>
      <c r="X16" s="70">
        <f t="shared" si="31"/>
        <v>50</v>
      </c>
      <c r="Y16" s="70">
        <f t="shared" si="32"/>
        <v>50</v>
      </c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</row>
    <row r="17" spans="1:36">
      <c r="A17" s="72" t="str">
        <f>+'GASTOS INDIRECTOS'!A9</f>
        <v xml:space="preserve">Mantenimiento de local </v>
      </c>
      <c r="B17" s="70">
        <f>(+'GASTOS INDIRECTOS'!$E$9)</f>
        <v>150</v>
      </c>
      <c r="C17" s="70">
        <f>B17</f>
        <v>150</v>
      </c>
      <c r="D17" s="70">
        <f>B17</f>
        <v>150</v>
      </c>
      <c r="E17" s="70">
        <f>D17</f>
        <v>150</v>
      </c>
      <c r="F17" s="70">
        <f>D17</f>
        <v>150</v>
      </c>
      <c r="G17" s="70">
        <f>F17</f>
        <v>150</v>
      </c>
      <c r="H17" s="70">
        <f>F17</f>
        <v>150</v>
      </c>
      <c r="I17" s="70">
        <f t="shared" ref="I17:Q18" si="41">H17</f>
        <v>150</v>
      </c>
      <c r="J17" s="70">
        <f t="shared" si="17"/>
        <v>150</v>
      </c>
      <c r="K17" s="70">
        <f t="shared" si="41"/>
        <v>150</v>
      </c>
      <c r="L17" s="70">
        <f t="shared" si="19"/>
        <v>150</v>
      </c>
      <c r="M17" s="70">
        <f t="shared" si="41"/>
        <v>150</v>
      </c>
      <c r="N17" s="70">
        <f t="shared" si="21"/>
        <v>150</v>
      </c>
      <c r="O17" s="70">
        <f t="shared" si="41"/>
        <v>150</v>
      </c>
      <c r="P17" s="70">
        <f t="shared" si="23"/>
        <v>150</v>
      </c>
      <c r="Q17" s="70">
        <f t="shared" si="41"/>
        <v>150</v>
      </c>
      <c r="R17" s="70">
        <f t="shared" si="25"/>
        <v>150</v>
      </c>
      <c r="S17" s="70">
        <f t="shared" si="38"/>
        <v>150</v>
      </c>
      <c r="T17" s="70">
        <f t="shared" si="27"/>
        <v>150</v>
      </c>
      <c r="U17" s="70">
        <f t="shared" si="38"/>
        <v>150</v>
      </c>
      <c r="V17" s="70">
        <f t="shared" si="29"/>
        <v>150</v>
      </c>
      <c r="W17" s="70">
        <f t="shared" si="38"/>
        <v>150</v>
      </c>
      <c r="X17" s="70">
        <f t="shared" si="31"/>
        <v>150</v>
      </c>
      <c r="Y17" s="70">
        <f t="shared" si="38"/>
        <v>150</v>
      </c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</row>
    <row r="18" spans="1:36">
      <c r="A18" s="72" t="str">
        <f>+'GASTOS INDIRECTOS'!A10</f>
        <v>Television por Cable</v>
      </c>
      <c r="B18" s="70">
        <f>(+'GASTOS INDIRECTOS'!$E$10)</f>
        <v>60</v>
      </c>
      <c r="C18" s="70">
        <f>B18</f>
        <v>60</v>
      </c>
      <c r="D18" s="70">
        <f>B18</f>
        <v>60</v>
      </c>
      <c r="E18" s="70">
        <f>D18</f>
        <v>60</v>
      </c>
      <c r="F18" s="70">
        <f>D18</f>
        <v>60</v>
      </c>
      <c r="G18" s="70">
        <f>F18</f>
        <v>60</v>
      </c>
      <c r="H18" s="70">
        <f>F18</f>
        <v>60</v>
      </c>
      <c r="I18" s="70">
        <f t="shared" si="41"/>
        <v>60</v>
      </c>
      <c r="J18" s="70">
        <f t="shared" si="17"/>
        <v>60</v>
      </c>
      <c r="K18" s="70">
        <f t="shared" si="41"/>
        <v>60</v>
      </c>
      <c r="L18" s="70">
        <f t="shared" si="19"/>
        <v>60</v>
      </c>
      <c r="M18" s="70">
        <f t="shared" si="41"/>
        <v>60</v>
      </c>
      <c r="N18" s="70">
        <f t="shared" si="21"/>
        <v>60</v>
      </c>
      <c r="O18" s="70">
        <f t="shared" si="41"/>
        <v>60</v>
      </c>
      <c r="P18" s="70">
        <f t="shared" si="23"/>
        <v>60</v>
      </c>
      <c r="Q18" s="70">
        <f t="shared" si="41"/>
        <v>60</v>
      </c>
      <c r="R18" s="70">
        <f t="shared" si="25"/>
        <v>60</v>
      </c>
      <c r="S18" s="70">
        <f t="shared" si="38"/>
        <v>60</v>
      </c>
      <c r="T18" s="70">
        <f t="shared" si="27"/>
        <v>60</v>
      </c>
      <c r="U18" s="70">
        <f t="shared" si="38"/>
        <v>60</v>
      </c>
      <c r="V18" s="70">
        <f t="shared" si="29"/>
        <v>60</v>
      </c>
      <c r="W18" s="70">
        <f t="shared" si="38"/>
        <v>60</v>
      </c>
      <c r="X18" s="70">
        <f t="shared" si="31"/>
        <v>60</v>
      </c>
      <c r="Y18" s="70">
        <f t="shared" si="38"/>
        <v>60</v>
      </c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</row>
    <row r="19" spans="1:36">
      <c r="A19" s="69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</row>
    <row r="20" spans="1:36">
      <c r="A20" s="74" t="s">
        <v>87</v>
      </c>
      <c r="B20" s="70">
        <f t="shared" ref="B20:G20" si="42">SUM(B21+B28)</f>
        <v>10961.5</v>
      </c>
      <c r="C20" s="70">
        <f t="shared" si="42"/>
        <v>10511.5</v>
      </c>
      <c r="D20" s="70">
        <f t="shared" si="42"/>
        <v>10511.5</v>
      </c>
      <c r="E20" s="70">
        <f t="shared" si="42"/>
        <v>10511.5</v>
      </c>
      <c r="F20" s="70">
        <f t="shared" si="42"/>
        <v>10511.5</v>
      </c>
      <c r="G20" s="70">
        <f t="shared" si="42"/>
        <v>10111.5</v>
      </c>
      <c r="H20" s="70">
        <f t="shared" ref="H20:Y20" si="43">SUM(H21+H28)</f>
        <v>18559</v>
      </c>
      <c r="I20" s="70">
        <f t="shared" si="43"/>
        <v>9311.5</v>
      </c>
      <c r="J20" s="70">
        <f t="shared" si="43"/>
        <v>9311.5</v>
      </c>
      <c r="K20" s="70">
        <f t="shared" si="43"/>
        <v>9311.5</v>
      </c>
      <c r="L20" s="70">
        <f t="shared" si="43"/>
        <v>9311.5</v>
      </c>
      <c r="M20" s="70">
        <f t="shared" si="43"/>
        <v>17784</v>
      </c>
      <c r="N20" s="70">
        <f t="shared" si="43"/>
        <v>9186.5</v>
      </c>
      <c r="O20" s="70">
        <f t="shared" si="43"/>
        <v>8936.5</v>
      </c>
      <c r="P20" s="70">
        <f t="shared" si="43"/>
        <v>8936.5</v>
      </c>
      <c r="Q20" s="70">
        <f t="shared" si="43"/>
        <v>8911.5</v>
      </c>
      <c r="R20" s="70">
        <f t="shared" si="43"/>
        <v>8911.5</v>
      </c>
      <c r="S20" s="70">
        <f t="shared" si="43"/>
        <v>8911.5</v>
      </c>
      <c r="T20" s="70">
        <f t="shared" si="43"/>
        <v>17359</v>
      </c>
      <c r="U20" s="70">
        <f t="shared" si="43"/>
        <v>8911.5</v>
      </c>
      <c r="V20" s="70">
        <f t="shared" si="43"/>
        <v>8911.5</v>
      </c>
      <c r="W20" s="70">
        <f t="shared" si="43"/>
        <v>8911.5</v>
      </c>
      <c r="X20" s="70">
        <f t="shared" si="43"/>
        <v>8911.5</v>
      </c>
      <c r="Y20" s="70">
        <f t="shared" si="43"/>
        <v>17509</v>
      </c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</row>
    <row r="21" spans="1:36">
      <c r="A21" s="74" t="s">
        <v>88</v>
      </c>
      <c r="B21" s="73">
        <f t="shared" ref="B21:G21" si="44">SUM(B22:B26)</f>
        <v>2050</v>
      </c>
      <c r="C21" s="73">
        <f t="shared" si="44"/>
        <v>1600</v>
      </c>
      <c r="D21" s="73">
        <f t="shared" si="44"/>
        <v>1600</v>
      </c>
      <c r="E21" s="73">
        <f t="shared" si="44"/>
        <v>1600</v>
      </c>
      <c r="F21" s="73">
        <f t="shared" si="44"/>
        <v>1600</v>
      </c>
      <c r="G21" s="73">
        <f t="shared" si="44"/>
        <v>1200</v>
      </c>
      <c r="H21" s="73">
        <f t="shared" ref="H21:Y21" si="45">SUM(H22:H26)</f>
        <v>1200</v>
      </c>
      <c r="I21" s="73">
        <f t="shared" si="45"/>
        <v>400</v>
      </c>
      <c r="J21" s="73">
        <f t="shared" si="45"/>
        <v>400</v>
      </c>
      <c r="K21" s="73">
        <f t="shared" si="45"/>
        <v>400</v>
      </c>
      <c r="L21" s="73">
        <f t="shared" si="45"/>
        <v>400</v>
      </c>
      <c r="M21" s="73">
        <f t="shared" si="45"/>
        <v>425</v>
      </c>
      <c r="N21" s="73">
        <f t="shared" si="45"/>
        <v>275</v>
      </c>
      <c r="O21" s="73">
        <f t="shared" si="45"/>
        <v>25</v>
      </c>
      <c r="P21" s="73">
        <f t="shared" si="45"/>
        <v>25</v>
      </c>
      <c r="Q21" s="73">
        <f t="shared" si="45"/>
        <v>0</v>
      </c>
      <c r="R21" s="73">
        <f t="shared" si="45"/>
        <v>0</v>
      </c>
      <c r="S21" s="73">
        <f t="shared" si="45"/>
        <v>0</v>
      </c>
      <c r="T21" s="73">
        <f t="shared" si="45"/>
        <v>0</v>
      </c>
      <c r="U21" s="73">
        <f t="shared" si="45"/>
        <v>0</v>
      </c>
      <c r="V21" s="73">
        <f t="shared" si="45"/>
        <v>0</v>
      </c>
      <c r="W21" s="73">
        <f t="shared" si="45"/>
        <v>0</v>
      </c>
      <c r="X21" s="73">
        <f t="shared" si="45"/>
        <v>0</v>
      </c>
      <c r="Y21" s="73">
        <f t="shared" si="45"/>
        <v>150</v>
      </c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</row>
    <row r="22" spans="1:36">
      <c r="A22" s="75" t="s">
        <v>412</v>
      </c>
      <c r="B22" s="70">
        <f>'GASTOS INDIRECTOS'!E12</f>
        <v>400</v>
      </c>
      <c r="C22" s="76">
        <f t="shared" ref="C22:F24" si="46">B22</f>
        <v>400</v>
      </c>
      <c r="D22" s="76">
        <f t="shared" si="46"/>
        <v>400</v>
      </c>
      <c r="E22" s="76">
        <f t="shared" si="46"/>
        <v>400</v>
      </c>
      <c r="F22" s="76">
        <f t="shared" si="46"/>
        <v>400</v>
      </c>
      <c r="G22" s="76">
        <v>0</v>
      </c>
      <c r="H22" s="76">
        <v>0</v>
      </c>
      <c r="I22" s="76">
        <v>0</v>
      </c>
      <c r="J22" s="76">
        <v>0</v>
      </c>
      <c r="K22" s="76">
        <f t="shared" ref="K22:X23" si="47">J22</f>
        <v>0</v>
      </c>
      <c r="L22" s="76">
        <f t="shared" si="47"/>
        <v>0</v>
      </c>
      <c r="M22" s="76">
        <v>25</v>
      </c>
      <c r="N22" s="76">
        <f t="shared" si="47"/>
        <v>25</v>
      </c>
      <c r="O22" s="76">
        <f t="shared" si="47"/>
        <v>25</v>
      </c>
      <c r="P22" s="76">
        <f t="shared" si="47"/>
        <v>25</v>
      </c>
      <c r="Q22" s="76">
        <v>0</v>
      </c>
      <c r="R22" s="76">
        <v>0</v>
      </c>
      <c r="S22" s="76">
        <v>0</v>
      </c>
      <c r="T22" s="76">
        <v>0</v>
      </c>
      <c r="U22" s="76">
        <v>0</v>
      </c>
      <c r="V22" s="76">
        <v>0</v>
      </c>
      <c r="W22" s="76">
        <v>0</v>
      </c>
      <c r="X22" s="76">
        <v>0</v>
      </c>
      <c r="Y22" s="76">
        <v>0</v>
      </c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</row>
    <row r="23" spans="1:36">
      <c r="A23" s="75" t="s">
        <v>18</v>
      </c>
      <c r="B23" s="70">
        <f>'GASTOS INDIRECTOS'!E13</f>
        <v>400</v>
      </c>
      <c r="C23" s="76">
        <f t="shared" si="46"/>
        <v>400</v>
      </c>
      <c r="D23" s="76">
        <f t="shared" si="46"/>
        <v>400</v>
      </c>
      <c r="E23" s="76">
        <f t="shared" si="46"/>
        <v>400</v>
      </c>
      <c r="F23" s="76">
        <f t="shared" si="46"/>
        <v>400</v>
      </c>
      <c r="G23" s="76">
        <f>F23</f>
        <v>400</v>
      </c>
      <c r="H23" s="76">
        <f>G23</f>
        <v>400</v>
      </c>
      <c r="I23" s="76">
        <f t="shared" ref="I23:R23" si="48">H23</f>
        <v>400</v>
      </c>
      <c r="J23" s="76">
        <f t="shared" si="48"/>
        <v>400</v>
      </c>
      <c r="K23" s="76">
        <f t="shared" si="48"/>
        <v>400</v>
      </c>
      <c r="L23" s="76">
        <f t="shared" si="48"/>
        <v>400</v>
      </c>
      <c r="M23" s="76">
        <f t="shared" si="48"/>
        <v>400</v>
      </c>
      <c r="N23" s="76">
        <v>0</v>
      </c>
      <c r="O23" s="76">
        <v>0</v>
      </c>
      <c r="P23" s="76">
        <v>0</v>
      </c>
      <c r="Q23" s="76">
        <f t="shared" si="48"/>
        <v>0</v>
      </c>
      <c r="R23" s="76">
        <f t="shared" si="48"/>
        <v>0</v>
      </c>
      <c r="S23" s="76">
        <f t="shared" si="47"/>
        <v>0</v>
      </c>
      <c r="T23" s="76">
        <f t="shared" si="47"/>
        <v>0</v>
      </c>
      <c r="U23" s="76">
        <f t="shared" si="47"/>
        <v>0</v>
      </c>
      <c r="V23" s="76">
        <f t="shared" si="47"/>
        <v>0</v>
      </c>
      <c r="W23" s="76">
        <f t="shared" si="47"/>
        <v>0</v>
      </c>
      <c r="X23" s="76">
        <f t="shared" si="47"/>
        <v>0</v>
      </c>
      <c r="Y23" s="76">
        <v>150</v>
      </c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</row>
    <row r="24" spans="1:36">
      <c r="A24" s="75" t="s">
        <v>413</v>
      </c>
      <c r="B24" s="70">
        <f>'GASTOS INDIRECTOS'!E14</f>
        <v>800</v>
      </c>
      <c r="C24" s="76">
        <f t="shared" si="46"/>
        <v>800</v>
      </c>
      <c r="D24" s="76">
        <f t="shared" si="46"/>
        <v>800</v>
      </c>
      <c r="E24" s="76">
        <f t="shared" si="46"/>
        <v>800</v>
      </c>
      <c r="F24" s="76">
        <f t="shared" si="46"/>
        <v>800</v>
      </c>
      <c r="G24" s="76">
        <f>F24</f>
        <v>800</v>
      </c>
      <c r="H24" s="76">
        <f>G24</f>
        <v>800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v>0</v>
      </c>
      <c r="Y24" s="76">
        <v>0</v>
      </c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</row>
    <row r="25" spans="1:36">
      <c r="A25" s="77" t="s">
        <v>414</v>
      </c>
      <c r="B25" s="78">
        <v>250</v>
      </c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>
        <v>250</v>
      </c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</row>
    <row r="26" spans="1:36">
      <c r="A26" s="75" t="s">
        <v>415</v>
      </c>
      <c r="B26" s="70">
        <v>200</v>
      </c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</row>
    <row r="27" spans="1:36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</row>
    <row r="28" spans="1:36">
      <c r="A28" s="74" t="s">
        <v>89</v>
      </c>
      <c r="B28" s="73">
        <f t="shared" ref="B28:G28" si="49">SUM(B29:B35)</f>
        <v>8911.5</v>
      </c>
      <c r="C28" s="73">
        <f t="shared" si="49"/>
        <v>8911.5</v>
      </c>
      <c r="D28" s="73">
        <f t="shared" si="49"/>
        <v>8911.5</v>
      </c>
      <c r="E28" s="73">
        <f t="shared" si="49"/>
        <v>8911.5</v>
      </c>
      <c r="F28" s="73">
        <f t="shared" si="49"/>
        <v>8911.5</v>
      </c>
      <c r="G28" s="73">
        <f t="shared" si="49"/>
        <v>8911.5</v>
      </c>
      <c r="H28" s="73">
        <f t="shared" ref="H28:Y28" si="50">SUM(H29:H35)</f>
        <v>17359</v>
      </c>
      <c r="I28" s="73">
        <f t="shared" si="50"/>
        <v>8911.5</v>
      </c>
      <c r="J28" s="73">
        <f t="shared" si="50"/>
        <v>8911.5</v>
      </c>
      <c r="K28" s="73">
        <f t="shared" si="50"/>
        <v>8911.5</v>
      </c>
      <c r="L28" s="73">
        <f t="shared" si="50"/>
        <v>8911.5</v>
      </c>
      <c r="M28" s="73">
        <f t="shared" si="50"/>
        <v>17359</v>
      </c>
      <c r="N28" s="73">
        <f t="shared" si="50"/>
        <v>8911.5</v>
      </c>
      <c r="O28" s="73">
        <f t="shared" si="50"/>
        <v>8911.5</v>
      </c>
      <c r="P28" s="73">
        <f t="shared" si="50"/>
        <v>8911.5</v>
      </c>
      <c r="Q28" s="73">
        <f t="shared" si="50"/>
        <v>8911.5</v>
      </c>
      <c r="R28" s="73">
        <f t="shared" si="50"/>
        <v>8911.5</v>
      </c>
      <c r="S28" s="73">
        <f t="shared" si="50"/>
        <v>8911.5</v>
      </c>
      <c r="T28" s="73">
        <f t="shared" si="50"/>
        <v>17359</v>
      </c>
      <c r="U28" s="73">
        <f t="shared" si="50"/>
        <v>8911.5</v>
      </c>
      <c r="V28" s="73">
        <f t="shared" si="50"/>
        <v>8911.5</v>
      </c>
      <c r="W28" s="73">
        <f t="shared" si="50"/>
        <v>8911.5</v>
      </c>
      <c r="X28" s="73">
        <f t="shared" si="50"/>
        <v>8911.5</v>
      </c>
      <c r="Y28" s="73">
        <f t="shared" si="50"/>
        <v>17359</v>
      </c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</row>
    <row r="29" spans="1:36">
      <c r="A29" s="72" t="s">
        <v>101</v>
      </c>
      <c r="B29" s="70">
        <f>SUM('PLANILLA DE EMPLEADOS'!N22+'PLANILLA DE EMPLEADOS'!K10)</f>
        <v>8447.5</v>
      </c>
      <c r="C29" s="70">
        <f t="shared" ref="C29:H29" si="51">B29</f>
        <v>8447.5</v>
      </c>
      <c r="D29" s="70">
        <f t="shared" si="51"/>
        <v>8447.5</v>
      </c>
      <c r="E29" s="70">
        <f t="shared" si="51"/>
        <v>8447.5</v>
      </c>
      <c r="F29" s="70">
        <f t="shared" si="51"/>
        <v>8447.5</v>
      </c>
      <c r="G29" s="70">
        <f t="shared" si="51"/>
        <v>8447.5</v>
      </c>
      <c r="H29" s="70">
        <f t="shared" si="51"/>
        <v>8447.5</v>
      </c>
      <c r="I29" s="70">
        <f t="shared" ref="I29:Y29" si="52">H29</f>
        <v>8447.5</v>
      </c>
      <c r="J29" s="70">
        <f t="shared" si="52"/>
        <v>8447.5</v>
      </c>
      <c r="K29" s="70">
        <f t="shared" si="52"/>
        <v>8447.5</v>
      </c>
      <c r="L29" s="70">
        <f t="shared" si="52"/>
        <v>8447.5</v>
      </c>
      <c r="M29" s="70">
        <f t="shared" si="52"/>
        <v>8447.5</v>
      </c>
      <c r="N29" s="70">
        <f t="shared" si="52"/>
        <v>8447.5</v>
      </c>
      <c r="O29" s="70">
        <f t="shared" si="52"/>
        <v>8447.5</v>
      </c>
      <c r="P29" s="70">
        <f t="shared" si="52"/>
        <v>8447.5</v>
      </c>
      <c r="Q29" s="70">
        <f t="shared" si="52"/>
        <v>8447.5</v>
      </c>
      <c r="R29" s="70">
        <f t="shared" si="52"/>
        <v>8447.5</v>
      </c>
      <c r="S29" s="70">
        <f t="shared" si="52"/>
        <v>8447.5</v>
      </c>
      <c r="T29" s="70">
        <f t="shared" si="52"/>
        <v>8447.5</v>
      </c>
      <c r="U29" s="70">
        <f t="shared" si="52"/>
        <v>8447.5</v>
      </c>
      <c r="V29" s="70">
        <f t="shared" si="52"/>
        <v>8447.5</v>
      </c>
      <c r="W29" s="70">
        <f t="shared" si="52"/>
        <v>8447.5</v>
      </c>
      <c r="X29" s="70">
        <f t="shared" si="52"/>
        <v>8447.5</v>
      </c>
      <c r="Y29" s="70">
        <f t="shared" si="52"/>
        <v>8447.5</v>
      </c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</row>
    <row r="30" spans="1:36">
      <c r="A30" s="69" t="s">
        <v>99</v>
      </c>
      <c r="B30" s="70"/>
      <c r="C30" s="70"/>
      <c r="D30" s="70"/>
      <c r="E30" s="70"/>
      <c r="F30" s="70"/>
      <c r="G30" s="70"/>
      <c r="H30" s="70">
        <f>B29</f>
        <v>8447.5</v>
      </c>
      <c r="I30" s="70"/>
      <c r="J30" s="70"/>
      <c r="K30" s="70"/>
      <c r="L30" s="70"/>
      <c r="M30" s="70">
        <f>B29</f>
        <v>8447.5</v>
      </c>
      <c r="N30" s="70"/>
      <c r="O30" s="70"/>
      <c r="P30" s="70"/>
      <c r="Q30" s="70"/>
      <c r="R30" s="70"/>
      <c r="S30" s="70"/>
      <c r="T30" s="70">
        <f>B29</f>
        <v>8447.5</v>
      </c>
      <c r="U30" s="70"/>
      <c r="V30" s="70"/>
      <c r="W30" s="70"/>
      <c r="X30" s="70"/>
      <c r="Y30" s="70">
        <f>B29</f>
        <v>8447.5</v>
      </c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</row>
    <row r="31" spans="1:36">
      <c r="A31" s="82" t="str">
        <f>+'GASTOS INDIRECTOS'!A6</f>
        <v>alquiler de local</v>
      </c>
      <c r="B31" s="78">
        <f>(+'GASTOS INDIRECTOS'!$E$6)*0.4</f>
        <v>240</v>
      </c>
      <c r="C31" s="78">
        <f>(+'GASTOS INDIRECTOS'!$E$6)*0.4</f>
        <v>240</v>
      </c>
      <c r="D31" s="78">
        <f>(+'GASTOS INDIRECTOS'!$E$6)*0.4</f>
        <v>240</v>
      </c>
      <c r="E31" s="78">
        <f>(+'GASTOS INDIRECTOS'!$E$6)*0.4</f>
        <v>240</v>
      </c>
      <c r="F31" s="78">
        <f>(+'GASTOS INDIRECTOS'!$E$6)*0.4</f>
        <v>240</v>
      </c>
      <c r="G31" s="78">
        <f>(+'GASTOS INDIRECTOS'!$E$6)*0.4</f>
        <v>240</v>
      </c>
      <c r="H31" s="78">
        <f>(+'GASTOS INDIRECTOS'!$E$6)*0.4</f>
        <v>240</v>
      </c>
      <c r="I31" s="78">
        <f>(+'GASTOS INDIRECTOS'!$E$6)*0.4</f>
        <v>240</v>
      </c>
      <c r="J31" s="78">
        <f>(+'GASTOS INDIRECTOS'!$E$6)*0.4</f>
        <v>240</v>
      </c>
      <c r="K31" s="78">
        <f>(+'GASTOS INDIRECTOS'!$E$6)*0.4</f>
        <v>240</v>
      </c>
      <c r="L31" s="78">
        <f>(+'GASTOS INDIRECTOS'!$E$6)*0.4</f>
        <v>240</v>
      </c>
      <c r="M31" s="78">
        <f>(+'GASTOS INDIRECTOS'!$E$6)*0.4</f>
        <v>240</v>
      </c>
      <c r="N31" s="78">
        <f>(+'GASTOS INDIRECTOS'!$E$6)*0.4</f>
        <v>240</v>
      </c>
      <c r="O31" s="78">
        <f>(+'GASTOS INDIRECTOS'!$E$6)*0.4</f>
        <v>240</v>
      </c>
      <c r="P31" s="78">
        <f>(+'GASTOS INDIRECTOS'!$E$6)*0.4</f>
        <v>240</v>
      </c>
      <c r="Q31" s="78">
        <f>(+'GASTOS INDIRECTOS'!$E$6)*0.4</f>
        <v>240</v>
      </c>
      <c r="R31" s="78">
        <f>(+'GASTOS INDIRECTOS'!$E$6)*0.4</f>
        <v>240</v>
      </c>
      <c r="S31" s="78">
        <f>(+'GASTOS INDIRECTOS'!$E$6)*0.4</f>
        <v>240</v>
      </c>
      <c r="T31" s="78">
        <f>(+'GASTOS INDIRECTOS'!$E$6)*0.4</f>
        <v>240</v>
      </c>
      <c r="U31" s="78">
        <f>(+'GASTOS INDIRECTOS'!$E$6)*0.4</f>
        <v>240</v>
      </c>
      <c r="V31" s="78">
        <f>(+'GASTOS INDIRECTOS'!$E$6)*0.4</f>
        <v>240</v>
      </c>
      <c r="W31" s="78">
        <f>(+'GASTOS INDIRECTOS'!$E$6)*0.4</f>
        <v>240</v>
      </c>
      <c r="X31" s="78">
        <f>(+'GASTOS INDIRECTOS'!$E$6)*0.4</f>
        <v>240</v>
      </c>
      <c r="Y31" s="78">
        <f>(+'GASTOS INDIRECTOS'!$E$6)*0.4</f>
        <v>240</v>
      </c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</row>
    <row r="32" spans="1:36">
      <c r="A32" s="82" t="str">
        <f>+'GASTOS INDIRECTOS'!A7</f>
        <v>Luz y agua</v>
      </c>
      <c r="B32" s="78">
        <f>(+'GASTOS INDIRECTOS'!$E$7)*0.4</f>
        <v>120</v>
      </c>
      <c r="C32" s="78">
        <f>(+'GASTOS INDIRECTOS'!$E$7)*0.4</f>
        <v>120</v>
      </c>
      <c r="D32" s="78">
        <f>(+'GASTOS INDIRECTOS'!$E$7)*0.4</f>
        <v>120</v>
      </c>
      <c r="E32" s="78">
        <f>(+'GASTOS INDIRECTOS'!$E$7)*0.4</f>
        <v>120</v>
      </c>
      <c r="F32" s="78">
        <f>(+'GASTOS INDIRECTOS'!$E$7)*0.4</f>
        <v>120</v>
      </c>
      <c r="G32" s="78">
        <f>(+'GASTOS INDIRECTOS'!$E$7)*0.4</f>
        <v>120</v>
      </c>
      <c r="H32" s="78">
        <f>(+'GASTOS INDIRECTOS'!$E$7)*0.4</f>
        <v>120</v>
      </c>
      <c r="I32" s="78">
        <f>(+'GASTOS INDIRECTOS'!$E$7)*0.4</f>
        <v>120</v>
      </c>
      <c r="J32" s="78">
        <f>(+'GASTOS INDIRECTOS'!$E$7)*0.4</f>
        <v>120</v>
      </c>
      <c r="K32" s="78">
        <f>(+'GASTOS INDIRECTOS'!$E$7)*0.4</f>
        <v>120</v>
      </c>
      <c r="L32" s="78">
        <f>(+'GASTOS INDIRECTOS'!$E$7)*0.4</f>
        <v>120</v>
      </c>
      <c r="M32" s="78">
        <f>(+'GASTOS INDIRECTOS'!$E$7)*0.4</f>
        <v>120</v>
      </c>
      <c r="N32" s="78">
        <f>(+'GASTOS INDIRECTOS'!$E$7)*0.4</f>
        <v>120</v>
      </c>
      <c r="O32" s="78">
        <f>(+'GASTOS INDIRECTOS'!$E$7)*0.4</f>
        <v>120</v>
      </c>
      <c r="P32" s="78">
        <f>(+'GASTOS INDIRECTOS'!$E$7)*0.4</f>
        <v>120</v>
      </c>
      <c r="Q32" s="78">
        <f>(+'GASTOS INDIRECTOS'!$E$7)*0.4</f>
        <v>120</v>
      </c>
      <c r="R32" s="78">
        <f>(+'GASTOS INDIRECTOS'!$E$7)*0.4</f>
        <v>120</v>
      </c>
      <c r="S32" s="78">
        <f>(+'GASTOS INDIRECTOS'!$E$7)*0.4</f>
        <v>120</v>
      </c>
      <c r="T32" s="78">
        <f>(+'GASTOS INDIRECTOS'!$E$7)*0.4</f>
        <v>120</v>
      </c>
      <c r="U32" s="78">
        <f>(+'GASTOS INDIRECTOS'!$E$7)*0.4</f>
        <v>120</v>
      </c>
      <c r="V32" s="78">
        <f>(+'GASTOS INDIRECTOS'!$E$7)*0.4</f>
        <v>120</v>
      </c>
      <c r="W32" s="78">
        <f>(+'GASTOS INDIRECTOS'!$E$7)*0.4</f>
        <v>120</v>
      </c>
      <c r="X32" s="78">
        <f>(+'GASTOS INDIRECTOS'!$E$7)*0.4</f>
        <v>120</v>
      </c>
      <c r="Y32" s="78">
        <f>(+'GASTOS INDIRECTOS'!$E$7)*0.4</f>
        <v>120</v>
      </c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</row>
    <row r="33" spans="1:36">
      <c r="A33" s="82" t="str">
        <f>+'GASTOS INDIRECTOS'!A8</f>
        <v>Telefono</v>
      </c>
      <c r="B33" s="78">
        <f>(+'GASTOS INDIRECTOS'!$E$8)*0.4</f>
        <v>20</v>
      </c>
      <c r="C33" s="78">
        <f>(+'GASTOS INDIRECTOS'!$E$8)*0.4</f>
        <v>20</v>
      </c>
      <c r="D33" s="78">
        <f>(+'GASTOS INDIRECTOS'!$E$8)*0.4</f>
        <v>20</v>
      </c>
      <c r="E33" s="78">
        <f>(+'GASTOS INDIRECTOS'!$E$8)*0.4</f>
        <v>20</v>
      </c>
      <c r="F33" s="78">
        <f>(+'GASTOS INDIRECTOS'!$E$8)*0.4</f>
        <v>20</v>
      </c>
      <c r="G33" s="78">
        <f>(+'GASTOS INDIRECTOS'!$E$8)*0.4</f>
        <v>20</v>
      </c>
      <c r="H33" s="78">
        <f>(+'GASTOS INDIRECTOS'!$E$8)*0.4</f>
        <v>20</v>
      </c>
      <c r="I33" s="78">
        <f>(+'GASTOS INDIRECTOS'!$E$8)*0.4</f>
        <v>20</v>
      </c>
      <c r="J33" s="78">
        <f>(+'GASTOS INDIRECTOS'!$E$8)*0.4</f>
        <v>20</v>
      </c>
      <c r="K33" s="78">
        <f>(+'GASTOS INDIRECTOS'!$E$8)*0.4</f>
        <v>20</v>
      </c>
      <c r="L33" s="78">
        <f>(+'GASTOS INDIRECTOS'!$E$8)*0.4</f>
        <v>20</v>
      </c>
      <c r="M33" s="78">
        <f>(+'GASTOS INDIRECTOS'!$E$8)*0.4</f>
        <v>20</v>
      </c>
      <c r="N33" s="78">
        <f>(+'GASTOS INDIRECTOS'!$E$8)*0.4</f>
        <v>20</v>
      </c>
      <c r="O33" s="78">
        <f>(+'GASTOS INDIRECTOS'!$E$8)*0.4</f>
        <v>20</v>
      </c>
      <c r="P33" s="78">
        <f>(+'GASTOS INDIRECTOS'!$E$8)*0.4</f>
        <v>20</v>
      </c>
      <c r="Q33" s="78">
        <f>(+'GASTOS INDIRECTOS'!$E$8)*0.4</f>
        <v>20</v>
      </c>
      <c r="R33" s="78">
        <f>(+'GASTOS INDIRECTOS'!$E$8)*0.4</f>
        <v>20</v>
      </c>
      <c r="S33" s="78">
        <f>(+'GASTOS INDIRECTOS'!$E$8)*0.4</f>
        <v>20</v>
      </c>
      <c r="T33" s="78">
        <f>(+'GASTOS INDIRECTOS'!$E$8)*0.4</f>
        <v>20</v>
      </c>
      <c r="U33" s="78">
        <f>(+'GASTOS INDIRECTOS'!$E$8)*0.4</f>
        <v>20</v>
      </c>
      <c r="V33" s="78">
        <f>(+'GASTOS INDIRECTOS'!$E$8)*0.4</f>
        <v>20</v>
      </c>
      <c r="W33" s="78">
        <f>(+'GASTOS INDIRECTOS'!$E$8)*0.4</f>
        <v>20</v>
      </c>
      <c r="X33" s="78">
        <f>(+'GASTOS INDIRECTOS'!$E$8)*0.4</f>
        <v>20</v>
      </c>
      <c r="Y33" s="78">
        <f>(+'GASTOS INDIRECTOS'!$E$8)*0.4</f>
        <v>20</v>
      </c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</row>
    <row r="34" spans="1:36">
      <c r="A34" s="82" t="str">
        <f>+'GASTOS INDIRECTOS'!A9</f>
        <v xml:space="preserve">Mantenimiento de local </v>
      </c>
      <c r="B34" s="78">
        <f>(+'GASTOS INDIRECTOS'!$E$9)*0.4</f>
        <v>60</v>
      </c>
      <c r="C34" s="78">
        <f>(+'GASTOS INDIRECTOS'!$E$9)*0.4</f>
        <v>60</v>
      </c>
      <c r="D34" s="78">
        <f>(+'GASTOS INDIRECTOS'!$E$9)*0.4</f>
        <v>60</v>
      </c>
      <c r="E34" s="78">
        <f>(+'GASTOS INDIRECTOS'!$E$9)*0.4</f>
        <v>60</v>
      </c>
      <c r="F34" s="78">
        <f>(+'GASTOS INDIRECTOS'!$E$9)*0.4</f>
        <v>60</v>
      </c>
      <c r="G34" s="78">
        <f>(+'GASTOS INDIRECTOS'!$E$9)*0.4</f>
        <v>60</v>
      </c>
      <c r="H34" s="78">
        <f>(+'GASTOS INDIRECTOS'!$E$9)*0.4</f>
        <v>60</v>
      </c>
      <c r="I34" s="78">
        <f>(+'GASTOS INDIRECTOS'!$E$9)*0.4</f>
        <v>60</v>
      </c>
      <c r="J34" s="78">
        <f>(+'GASTOS INDIRECTOS'!$E$9)*0.4</f>
        <v>60</v>
      </c>
      <c r="K34" s="78">
        <f>(+'GASTOS INDIRECTOS'!$E$9)*0.4</f>
        <v>60</v>
      </c>
      <c r="L34" s="78">
        <f>(+'GASTOS INDIRECTOS'!$E$9)*0.4</f>
        <v>60</v>
      </c>
      <c r="M34" s="78">
        <f>(+'GASTOS INDIRECTOS'!$E$9)*0.4</f>
        <v>60</v>
      </c>
      <c r="N34" s="78">
        <f>(+'GASTOS INDIRECTOS'!$E$9)*0.4</f>
        <v>60</v>
      </c>
      <c r="O34" s="78">
        <f>(+'GASTOS INDIRECTOS'!$E$9)*0.4</f>
        <v>60</v>
      </c>
      <c r="P34" s="78">
        <f>(+'GASTOS INDIRECTOS'!$E$9)*0.4</f>
        <v>60</v>
      </c>
      <c r="Q34" s="78">
        <f>(+'GASTOS INDIRECTOS'!$E$9)*0.4</f>
        <v>60</v>
      </c>
      <c r="R34" s="78">
        <f>(+'GASTOS INDIRECTOS'!$E$9)*0.4</f>
        <v>60</v>
      </c>
      <c r="S34" s="78">
        <f>(+'GASTOS INDIRECTOS'!$E$9)*0.4</f>
        <v>60</v>
      </c>
      <c r="T34" s="78">
        <f>(+'GASTOS INDIRECTOS'!$E$9)*0.4</f>
        <v>60</v>
      </c>
      <c r="U34" s="78">
        <f>(+'GASTOS INDIRECTOS'!$E$9)*0.4</f>
        <v>60</v>
      </c>
      <c r="V34" s="78">
        <f>(+'GASTOS INDIRECTOS'!$E$9)*0.4</f>
        <v>60</v>
      </c>
      <c r="W34" s="78">
        <f>(+'GASTOS INDIRECTOS'!$E$9)*0.4</f>
        <v>60</v>
      </c>
      <c r="X34" s="78">
        <f>(+'GASTOS INDIRECTOS'!$E$9)*0.4</f>
        <v>60</v>
      </c>
      <c r="Y34" s="78">
        <f>(+'GASTOS INDIRECTOS'!$E$9)*0.4</f>
        <v>60</v>
      </c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</row>
    <row r="35" spans="1:36">
      <c r="A35" s="82" t="str">
        <f>+'GASTOS INDIRECTOS'!A10</f>
        <v>Television por Cable</v>
      </c>
      <c r="B35" s="78">
        <f>(+'GASTOS INDIRECTOS'!$E$10)*0.4</f>
        <v>24</v>
      </c>
      <c r="C35" s="78">
        <f>(+'GASTOS INDIRECTOS'!$E$10)*0.4</f>
        <v>24</v>
      </c>
      <c r="D35" s="78">
        <f>(+'GASTOS INDIRECTOS'!$E$10)*0.4</f>
        <v>24</v>
      </c>
      <c r="E35" s="78">
        <f>(+'GASTOS INDIRECTOS'!$E$10)*0.4</f>
        <v>24</v>
      </c>
      <c r="F35" s="78">
        <f>(+'GASTOS INDIRECTOS'!$E$10)*0.4</f>
        <v>24</v>
      </c>
      <c r="G35" s="78">
        <f>(+'GASTOS INDIRECTOS'!$E$10)*0.4</f>
        <v>24</v>
      </c>
      <c r="H35" s="78">
        <f>(+'GASTOS INDIRECTOS'!$E$10)*0.4</f>
        <v>24</v>
      </c>
      <c r="I35" s="78">
        <f>(+'GASTOS INDIRECTOS'!$E$10)*0.4</f>
        <v>24</v>
      </c>
      <c r="J35" s="78">
        <f>(+'GASTOS INDIRECTOS'!$E$10)*0.4</f>
        <v>24</v>
      </c>
      <c r="K35" s="78">
        <f>(+'GASTOS INDIRECTOS'!$E$10)*0.4</f>
        <v>24</v>
      </c>
      <c r="L35" s="78">
        <f>(+'GASTOS INDIRECTOS'!$E$10)*0.4</f>
        <v>24</v>
      </c>
      <c r="M35" s="78">
        <f>(+'GASTOS INDIRECTOS'!$E$10)*0.4</f>
        <v>24</v>
      </c>
      <c r="N35" s="78">
        <f>(+'GASTOS INDIRECTOS'!$E$10)*0.4</f>
        <v>24</v>
      </c>
      <c r="O35" s="78">
        <f>(+'GASTOS INDIRECTOS'!$E$10)*0.4</f>
        <v>24</v>
      </c>
      <c r="P35" s="78">
        <f>(+'GASTOS INDIRECTOS'!$E$10)*0.4</f>
        <v>24</v>
      </c>
      <c r="Q35" s="78">
        <f>(+'GASTOS INDIRECTOS'!$E$10)*0.4</f>
        <v>24</v>
      </c>
      <c r="R35" s="78">
        <f>(+'GASTOS INDIRECTOS'!$E$10)*0.4</f>
        <v>24</v>
      </c>
      <c r="S35" s="78">
        <f>(+'GASTOS INDIRECTOS'!$E$10)*0.4</f>
        <v>24</v>
      </c>
      <c r="T35" s="78">
        <f>(+'GASTOS INDIRECTOS'!$E$10)*0.4</f>
        <v>24</v>
      </c>
      <c r="U35" s="78">
        <f>(+'GASTOS INDIRECTOS'!$E$10)*0.4</f>
        <v>24</v>
      </c>
      <c r="V35" s="78">
        <f>(+'GASTOS INDIRECTOS'!$E$10)*0.4</f>
        <v>24</v>
      </c>
      <c r="W35" s="78">
        <f>(+'GASTOS INDIRECTOS'!$E$10)*0.4</f>
        <v>24</v>
      </c>
      <c r="X35" s="78">
        <f>(+'GASTOS INDIRECTOS'!$E$10)*0.4</f>
        <v>24</v>
      </c>
      <c r="Y35" s="78">
        <f>(+'GASTOS INDIRECTOS'!$E$10)*0.4</f>
        <v>24</v>
      </c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</row>
    <row r="36" spans="1:36">
      <c r="A36" s="72" t="s">
        <v>109</v>
      </c>
      <c r="B36" s="76">
        <f>'DEPRECIACION DE EQUIPOS'!H16</f>
        <v>158.16666666666666</v>
      </c>
      <c r="C36" s="76">
        <f t="shared" ref="C36:H36" si="53">B36</f>
        <v>158.16666666666666</v>
      </c>
      <c r="D36" s="76">
        <f t="shared" si="53"/>
        <v>158.16666666666666</v>
      </c>
      <c r="E36" s="76">
        <f t="shared" si="53"/>
        <v>158.16666666666666</v>
      </c>
      <c r="F36" s="76">
        <f t="shared" si="53"/>
        <v>158.16666666666666</v>
      </c>
      <c r="G36" s="76">
        <f t="shared" si="53"/>
        <v>158.16666666666666</v>
      </c>
      <c r="H36" s="76">
        <f t="shared" si="53"/>
        <v>158.16666666666666</v>
      </c>
      <c r="I36" s="76">
        <f t="shared" ref="I36:Y36" si="54">H36</f>
        <v>158.16666666666666</v>
      </c>
      <c r="J36" s="76">
        <f t="shared" si="54"/>
        <v>158.16666666666666</v>
      </c>
      <c r="K36" s="76">
        <f t="shared" si="54"/>
        <v>158.16666666666666</v>
      </c>
      <c r="L36" s="76">
        <f t="shared" si="54"/>
        <v>158.16666666666666</v>
      </c>
      <c r="M36" s="76">
        <f t="shared" si="54"/>
        <v>158.16666666666666</v>
      </c>
      <c r="N36" s="76">
        <f t="shared" si="54"/>
        <v>158.16666666666666</v>
      </c>
      <c r="O36" s="76">
        <f t="shared" si="54"/>
        <v>158.16666666666666</v>
      </c>
      <c r="P36" s="76">
        <f t="shared" si="54"/>
        <v>158.16666666666666</v>
      </c>
      <c r="Q36" s="76">
        <f t="shared" si="54"/>
        <v>158.16666666666666</v>
      </c>
      <c r="R36" s="76">
        <f t="shared" si="54"/>
        <v>158.16666666666666</v>
      </c>
      <c r="S36" s="76">
        <f t="shared" si="54"/>
        <v>158.16666666666666</v>
      </c>
      <c r="T36" s="76">
        <f t="shared" si="54"/>
        <v>158.16666666666666</v>
      </c>
      <c r="U36" s="76">
        <f t="shared" si="54"/>
        <v>158.16666666666666</v>
      </c>
      <c r="V36" s="76">
        <f t="shared" si="54"/>
        <v>158.16666666666666</v>
      </c>
      <c r="W36" s="76">
        <f t="shared" si="54"/>
        <v>158.16666666666666</v>
      </c>
      <c r="X36" s="76">
        <f t="shared" si="54"/>
        <v>158.16666666666666</v>
      </c>
      <c r="Y36" s="76">
        <f t="shared" si="54"/>
        <v>158.16666666666666</v>
      </c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</row>
    <row r="37" spans="1:36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</row>
    <row r="38" spans="1:36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</row>
    <row r="39" spans="1:36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</row>
    <row r="40" spans="1:36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</row>
    <row r="41" spans="1:36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</row>
    <row r="42" spans="1:36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</row>
    <row r="43" spans="1:36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</row>
    <row r="44" spans="1:36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</row>
    <row r="45" spans="1:36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</row>
    <row r="46" spans="1:36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</row>
    <row r="47" spans="1:36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</row>
    <row r="48" spans="1:36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</row>
    <row r="49" spans="1:36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</row>
    <row r="50" spans="1:36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</row>
    <row r="51" spans="1:36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</row>
    <row r="52" spans="1:36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</row>
    <row r="53" spans="1:36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</row>
    <row r="54" spans="1:36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</row>
    <row r="55" spans="1:36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</row>
    <row r="56" spans="1:36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</row>
    <row r="57" spans="1:36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</row>
    <row r="58" spans="1:36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</row>
    <row r="59" spans="1:36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</row>
    <row r="60" spans="1:36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</row>
    <row r="61" spans="1:36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</row>
    <row r="62" spans="1:36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</row>
    <row r="63" spans="1:36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</row>
    <row r="64" spans="1:36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</row>
    <row r="65" spans="1:36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</row>
    <row r="66" spans="1:36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</row>
    <row r="67" spans="1:36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</row>
    <row r="68" spans="1:36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</row>
    <row r="69" spans="1:36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</row>
    <row r="70" spans="1:36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</row>
    <row r="71" spans="1:36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</row>
    <row r="72" spans="1:36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</row>
    <row r="73" spans="1:36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</row>
    <row r="74" spans="1:36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</row>
    <row r="75" spans="1:36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</row>
    <row r="76" spans="1:36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</row>
    <row r="77" spans="1:36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</row>
    <row r="78" spans="1:36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</row>
    <row r="79" spans="1:36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</row>
    <row r="80" spans="1:36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</row>
    <row r="81" spans="1:36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</row>
    <row r="82" spans="1:36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</row>
    <row r="83" spans="1:36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</row>
    <row r="84" spans="1:36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</row>
    <row r="85" spans="1:36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</row>
    <row r="86" spans="1:36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</row>
    <row r="87" spans="1:36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</row>
    <row r="88" spans="1:36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</row>
    <row r="89" spans="1:36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</row>
    <row r="90" spans="1:36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</row>
    <row r="91" spans="1:36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</row>
    <row r="92" spans="1:36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</row>
    <row r="93" spans="1:36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</row>
    <row r="94" spans="1:36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</row>
    <row r="95" spans="1:36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</row>
    <row r="96" spans="1:36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</row>
    <row r="97" spans="1:36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</row>
    <row r="98" spans="1:36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</row>
    <row r="99" spans="1:36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</row>
    <row r="100" spans="1:36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</row>
    <row r="101" spans="1:36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</row>
    <row r="102" spans="1:36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</row>
    <row r="103" spans="1:36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</row>
    <row r="104" spans="1:36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</row>
    <row r="105" spans="1:36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</row>
    <row r="106" spans="1:36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</row>
    <row r="107" spans="1:36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</row>
    <row r="108" spans="1:36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</row>
    <row r="109" spans="1:36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</row>
    <row r="110" spans="1:36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</row>
    <row r="111" spans="1:36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</row>
    <row r="112" spans="1:36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</row>
    <row r="113" spans="1:36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</row>
    <row r="114" spans="1:36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</row>
    <row r="115" spans="1:36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</row>
    <row r="116" spans="1:36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</row>
    <row r="117" spans="1:36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</row>
    <row r="118" spans="1:36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</row>
    <row r="119" spans="1:36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</row>
    <row r="120" spans="1:36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</row>
    <row r="121" spans="1:36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</row>
    <row r="122" spans="1:36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</row>
    <row r="123" spans="1:36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</row>
    <row r="124" spans="1:36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</row>
    <row r="125" spans="1:36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</row>
    <row r="126" spans="1:36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</row>
    <row r="127" spans="1:36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</row>
    <row r="128" spans="1:36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</row>
    <row r="129" spans="1:36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</row>
    <row r="130" spans="1:36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</row>
    <row r="131" spans="1:36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</row>
    <row r="132" spans="1:36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</row>
    <row r="133" spans="1:36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</row>
    <row r="134" spans="1:36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</row>
    <row r="135" spans="1:36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</row>
    <row r="136" spans="1:36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</row>
    <row r="137" spans="1:36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</row>
    <row r="138" spans="1:36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</row>
    <row r="139" spans="1:36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</row>
    <row r="140" spans="1:36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</row>
    <row r="141" spans="1:36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</row>
    <row r="142" spans="1:36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</row>
    <row r="143" spans="1:36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</row>
    <row r="144" spans="1:36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</row>
    <row r="145" spans="1:36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</row>
    <row r="146" spans="1:36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</row>
    <row r="147" spans="1:36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</row>
    <row r="148" spans="1:36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</row>
    <row r="149" spans="1:36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</row>
    <row r="150" spans="1:36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</row>
    <row r="151" spans="1:36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</row>
    <row r="152" spans="1:36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</row>
    <row r="153" spans="1:36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</row>
    <row r="154" spans="1:36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</row>
    <row r="155" spans="1:36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</row>
    <row r="156" spans="1:36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</row>
    <row r="157" spans="1:36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</row>
    <row r="158" spans="1:36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</row>
    <row r="159" spans="1:36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</row>
    <row r="160" spans="1:36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</row>
    <row r="161" spans="1:36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</row>
    <row r="162" spans="1:36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</row>
    <row r="163" spans="1:36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</row>
    <row r="164" spans="1:36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</row>
    <row r="165" spans="1:36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</row>
    <row r="166" spans="1:36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</row>
    <row r="167" spans="1:36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</row>
    <row r="168" spans="1:36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</row>
    <row r="169" spans="1:36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</row>
    <row r="170" spans="1:36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</row>
    <row r="171" spans="1:36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</row>
    <row r="172" spans="1:36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8"/>
  <sheetViews>
    <sheetView showGridLines="0" zoomScaleNormal="100" workbookViewId="0">
      <selection activeCell="B15" sqref="B15"/>
    </sheetView>
  </sheetViews>
  <sheetFormatPr baseColWidth="10" defaultRowHeight="12" customHeight="1"/>
  <cols>
    <col min="1" max="1" width="46.28515625" style="9" customWidth="1"/>
    <col min="2" max="20" width="11.42578125" style="9" customWidth="1"/>
    <col min="21" max="25" width="12.7109375" style="9" bestFit="1" customWidth="1"/>
    <col min="26" max="16384" width="11.42578125" style="9"/>
  </cols>
  <sheetData>
    <row r="1" spans="1:26" ht="12" customHeight="1">
      <c r="A1" s="261" t="s">
        <v>110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</row>
    <row r="2" spans="1:26" ht="12" customHeight="1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</row>
    <row r="3" spans="1:26" ht="12" customHeight="1">
      <c r="A3" s="271" t="s">
        <v>83</v>
      </c>
      <c r="B3" s="271">
        <v>1</v>
      </c>
      <c r="C3" s="271">
        <v>2</v>
      </c>
      <c r="D3" s="271">
        <v>3</v>
      </c>
      <c r="E3" s="271">
        <v>4</v>
      </c>
      <c r="F3" s="271">
        <v>5</v>
      </c>
      <c r="G3" s="271">
        <v>6</v>
      </c>
      <c r="H3" s="271">
        <v>7</v>
      </c>
      <c r="I3" s="271">
        <v>8</v>
      </c>
      <c r="J3" s="271">
        <v>9</v>
      </c>
      <c r="K3" s="271">
        <v>10</v>
      </c>
      <c r="L3" s="271">
        <v>11</v>
      </c>
      <c r="M3" s="271">
        <v>12</v>
      </c>
      <c r="N3" s="271">
        <v>13</v>
      </c>
      <c r="O3" s="271">
        <v>14</v>
      </c>
      <c r="P3" s="271">
        <v>15</v>
      </c>
      <c r="Q3" s="271">
        <v>16</v>
      </c>
      <c r="R3" s="271">
        <v>17</v>
      </c>
      <c r="S3" s="271">
        <v>18</v>
      </c>
      <c r="T3" s="271">
        <v>19</v>
      </c>
      <c r="U3" s="271">
        <v>20</v>
      </c>
      <c r="V3" s="271">
        <v>21</v>
      </c>
      <c r="W3" s="271">
        <v>22</v>
      </c>
      <c r="X3" s="271">
        <v>23</v>
      </c>
      <c r="Y3" s="271">
        <v>24</v>
      </c>
      <c r="Z3" s="275"/>
    </row>
    <row r="4" spans="1:26" ht="12" customHeight="1">
      <c r="A4" s="263" t="s">
        <v>111</v>
      </c>
      <c r="B4" s="276">
        <f>'INGRESO POR VENTAS'!C18</f>
        <v>36729</v>
      </c>
      <c r="C4" s="276">
        <f>'INGRESO POR VENTAS'!D18</f>
        <v>36729</v>
      </c>
      <c r="D4" s="276">
        <f>'INGRESO POR VENTAS'!E18</f>
        <v>36729</v>
      </c>
      <c r="E4" s="276">
        <f>'INGRESO POR VENTAS'!F18</f>
        <v>36729</v>
      </c>
      <c r="F4" s="276">
        <f>'INGRESO POR VENTAS'!G18</f>
        <v>36729</v>
      </c>
      <c r="G4" s="276">
        <f>'INGRESO POR VENTAS'!H18</f>
        <v>36729</v>
      </c>
      <c r="H4" s="276">
        <f>'INGRESO POR VENTAS'!I18</f>
        <v>36729</v>
      </c>
      <c r="I4" s="276">
        <f>'INGRESO POR VENTAS'!J18</f>
        <v>36729</v>
      </c>
      <c r="J4" s="276">
        <f>'INGRESO POR VENTAS'!K18</f>
        <v>36729</v>
      </c>
      <c r="K4" s="276">
        <f>'INGRESO POR VENTAS'!L18</f>
        <v>36729</v>
      </c>
      <c r="L4" s="276">
        <f>'INGRESO POR VENTAS'!M18</f>
        <v>36729</v>
      </c>
      <c r="M4" s="276">
        <f>'INGRESO POR VENTAS'!N18</f>
        <v>36729</v>
      </c>
      <c r="N4" s="276">
        <f>'INGRESO POR VENTAS'!O18</f>
        <v>36729</v>
      </c>
      <c r="O4" s="276">
        <f>'INGRESO POR VENTAS'!P18</f>
        <v>36729</v>
      </c>
      <c r="P4" s="276">
        <f>'INGRESO POR VENTAS'!Q18</f>
        <v>36729</v>
      </c>
      <c r="Q4" s="276">
        <f>'INGRESO POR VENTAS'!R18</f>
        <v>36729</v>
      </c>
      <c r="R4" s="276">
        <f>'INGRESO POR VENTAS'!S18</f>
        <v>36729</v>
      </c>
      <c r="S4" s="276">
        <f>'INGRESO POR VENTAS'!T18</f>
        <v>36729</v>
      </c>
      <c r="T4" s="276">
        <f>'INGRESO POR VENTAS'!U18</f>
        <v>36729</v>
      </c>
      <c r="U4" s="276">
        <f>'INGRESO POR VENTAS'!V18</f>
        <v>36729</v>
      </c>
      <c r="V4" s="276">
        <f>'INGRESO POR VENTAS'!W18</f>
        <v>36729</v>
      </c>
      <c r="W4" s="276">
        <f>'INGRESO POR VENTAS'!X18</f>
        <v>36729</v>
      </c>
      <c r="X4" s="276">
        <f>'INGRESO POR VENTAS'!Y18</f>
        <v>36729</v>
      </c>
      <c r="Y4" s="276">
        <f>'INGRESO POR VENTAS'!Z18</f>
        <v>36729</v>
      </c>
      <c r="Z4" s="275"/>
    </row>
    <row r="5" spans="1:26" ht="12" customHeight="1">
      <c r="A5" s="263" t="s">
        <v>112</v>
      </c>
      <c r="B5" s="265">
        <f>B6+B7+B8+B9+B10+B11</f>
        <v>23969.23916666667</v>
      </c>
      <c r="C5" s="265">
        <f t="shared" ref="C5:Y5" si="0">C6+C7+C8+C9+C10+C11</f>
        <v>23519.23916666667</v>
      </c>
      <c r="D5" s="265">
        <f t="shared" si="0"/>
        <v>23519.23916666667</v>
      </c>
      <c r="E5" s="265">
        <f t="shared" si="0"/>
        <v>23519.23916666667</v>
      </c>
      <c r="F5" s="265">
        <f t="shared" si="0"/>
        <v>23519.23916666667</v>
      </c>
      <c r="G5" s="265">
        <f t="shared" si="0"/>
        <v>23119.23916666667</v>
      </c>
      <c r="H5" s="265">
        <f t="shared" si="0"/>
        <v>35229.559166666666</v>
      </c>
      <c r="I5" s="265">
        <f t="shared" si="0"/>
        <v>22319.23916666667</v>
      </c>
      <c r="J5" s="265">
        <f t="shared" si="0"/>
        <v>22319.23916666667</v>
      </c>
      <c r="K5" s="265">
        <f t="shared" si="0"/>
        <v>22319.23916666667</v>
      </c>
      <c r="L5" s="265">
        <f t="shared" si="0"/>
        <v>22319.23916666667</v>
      </c>
      <c r="M5" s="265">
        <f t="shared" si="0"/>
        <v>34454.559166666666</v>
      </c>
      <c r="N5" s="265">
        <f t="shared" si="0"/>
        <v>22194.23916666667</v>
      </c>
      <c r="O5" s="265">
        <f t="shared" si="0"/>
        <v>21944.23916666667</v>
      </c>
      <c r="P5" s="265">
        <f t="shared" si="0"/>
        <v>21944.23916666667</v>
      </c>
      <c r="Q5" s="265">
        <f t="shared" si="0"/>
        <v>21919.23916666667</v>
      </c>
      <c r="R5" s="265">
        <f t="shared" si="0"/>
        <v>21919.23916666667</v>
      </c>
      <c r="S5" s="265">
        <f t="shared" si="0"/>
        <v>21919.23916666667</v>
      </c>
      <c r="T5" s="265">
        <f t="shared" si="0"/>
        <v>34029.559166666666</v>
      </c>
      <c r="U5" s="265">
        <f t="shared" si="0"/>
        <v>21919.23916666667</v>
      </c>
      <c r="V5" s="265">
        <f t="shared" si="0"/>
        <v>21919.23916666667</v>
      </c>
      <c r="W5" s="265">
        <f t="shared" si="0"/>
        <v>21919.23916666667</v>
      </c>
      <c r="X5" s="265">
        <f t="shared" si="0"/>
        <v>21919.23916666667</v>
      </c>
      <c r="Y5" s="265">
        <f t="shared" si="0"/>
        <v>34179.559166666666</v>
      </c>
    </row>
    <row r="6" spans="1:26" ht="12" customHeight="1">
      <c r="A6" s="266" t="s">
        <v>115</v>
      </c>
      <c r="B6" s="267">
        <f>+'PRESUPUESTO DE GASTOS'!B9</f>
        <v>3662.8199999999997</v>
      </c>
      <c r="C6" s="267">
        <f>+'PRESUPUESTO DE GASTOS'!C9</f>
        <v>3662.8199999999997</v>
      </c>
      <c r="D6" s="267">
        <f>+'PRESUPUESTO DE GASTOS'!D9</f>
        <v>3662.8199999999997</v>
      </c>
      <c r="E6" s="267">
        <f>+'PRESUPUESTO DE GASTOS'!E9</f>
        <v>3662.8199999999997</v>
      </c>
      <c r="F6" s="267">
        <f>+'PRESUPUESTO DE GASTOS'!F9</f>
        <v>3662.8199999999997</v>
      </c>
      <c r="G6" s="267">
        <f>+'PRESUPUESTO DE GASTOS'!G9</f>
        <v>3662.8199999999997</v>
      </c>
      <c r="H6" s="267">
        <f>+'PRESUPUESTO DE GASTOS'!H9</f>
        <v>7325.6399999999994</v>
      </c>
      <c r="I6" s="267">
        <f>+'PRESUPUESTO DE GASTOS'!I9</f>
        <v>3662.8199999999997</v>
      </c>
      <c r="J6" s="267">
        <f>+'PRESUPUESTO DE GASTOS'!J9</f>
        <v>3662.8199999999997</v>
      </c>
      <c r="K6" s="267">
        <f>+'PRESUPUESTO DE GASTOS'!K9</f>
        <v>3662.8199999999997</v>
      </c>
      <c r="L6" s="267">
        <f>+'PRESUPUESTO DE GASTOS'!L9</f>
        <v>3662.8199999999997</v>
      </c>
      <c r="M6" s="267">
        <f>+'PRESUPUESTO DE GASTOS'!M9</f>
        <v>7325.6399999999994</v>
      </c>
      <c r="N6" s="267">
        <f>+'PRESUPUESTO DE GASTOS'!N9</f>
        <v>3662.8199999999997</v>
      </c>
      <c r="O6" s="267">
        <f>+'PRESUPUESTO DE GASTOS'!O9</f>
        <v>3662.8199999999997</v>
      </c>
      <c r="P6" s="267">
        <f>+'PRESUPUESTO DE GASTOS'!P9</f>
        <v>3662.8199999999997</v>
      </c>
      <c r="Q6" s="267">
        <f>+'PRESUPUESTO DE GASTOS'!Q9</f>
        <v>3662.8199999999997</v>
      </c>
      <c r="R6" s="267">
        <f>+'PRESUPUESTO DE GASTOS'!R9</f>
        <v>3662.8199999999997</v>
      </c>
      <c r="S6" s="267">
        <f>+'PRESUPUESTO DE GASTOS'!S9</f>
        <v>3662.8199999999997</v>
      </c>
      <c r="T6" s="267">
        <f>+'PRESUPUESTO DE GASTOS'!T9</f>
        <v>7325.6399999999994</v>
      </c>
      <c r="U6" s="267">
        <f>+'PRESUPUESTO DE GASTOS'!U9</f>
        <v>3662.8199999999997</v>
      </c>
      <c r="V6" s="267">
        <f>+'PRESUPUESTO DE GASTOS'!V9</f>
        <v>3662.8199999999997</v>
      </c>
      <c r="W6" s="267">
        <f>+'PRESUPUESTO DE GASTOS'!W9</f>
        <v>3662.8199999999997</v>
      </c>
      <c r="X6" s="267">
        <f>+'PRESUPUESTO DE GASTOS'!X9</f>
        <v>3662.8199999999997</v>
      </c>
      <c r="Y6" s="267">
        <f>+'PRESUPUESTO DE GASTOS'!Y9</f>
        <v>7325.6399999999994</v>
      </c>
    </row>
    <row r="7" spans="1:26" ht="12" customHeight="1">
      <c r="A7" s="268" t="s">
        <v>352</v>
      </c>
      <c r="B7" s="267">
        <f>+'PRESUPUESTO DE GASTOS'!B6</f>
        <v>8026.7525000000005</v>
      </c>
      <c r="C7" s="267">
        <f>+'PRESUPUESTO DE GASTOS'!C6</f>
        <v>8026.7525000000005</v>
      </c>
      <c r="D7" s="267">
        <f>+'PRESUPUESTO DE GASTOS'!D6</f>
        <v>8026.7525000000005</v>
      </c>
      <c r="E7" s="267">
        <f>+'PRESUPUESTO DE GASTOS'!E6</f>
        <v>8026.7525000000005</v>
      </c>
      <c r="F7" s="267">
        <f>+'PRESUPUESTO DE GASTOS'!F6</f>
        <v>8026.7525000000005</v>
      </c>
      <c r="G7" s="267">
        <f>+'PRESUPUESTO DE GASTOS'!G6</f>
        <v>8026.7525000000005</v>
      </c>
      <c r="H7" s="267">
        <f>+'PRESUPUESTO DE GASTOS'!H6</f>
        <v>8026.7525000000005</v>
      </c>
      <c r="I7" s="267">
        <f>+'PRESUPUESTO DE GASTOS'!I6</f>
        <v>8026.7525000000005</v>
      </c>
      <c r="J7" s="267">
        <f>+'PRESUPUESTO DE GASTOS'!J6</f>
        <v>8026.7525000000005</v>
      </c>
      <c r="K7" s="267">
        <f>+'PRESUPUESTO DE GASTOS'!K6</f>
        <v>8026.7525000000005</v>
      </c>
      <c r="L7" s="267">
        <f>+'PRESUPUESTO DE GASTOS'!L6</f>
        <v>8026.7525000000005</v>
      </c>
      <c r="M7" s="267">
        <f>+'PRESUPUESTO DE GASTOS'!M6</f>
        <v>8026.7525000000005</v>
      </c>
      <c r="N7" s="267">
        <f>+'PRESUPUESTO DE GASTOS'!N6</f>
        <v>8026.7525000000005</v>
      </c>
      <c r="O7" s="267">
        <f>+'PRESUPUESTO DE GASTOS'!O6</f>
        <v>8026.7525000000005</v>
      </c>
      <c r="P7" s="267">
        <f>+'PRESUPUESTO DE GASTOS'!P6</f>
        <v>8026.7525000000005</v>
      </c>
      <c r="Q7" s="267">
        <f>+'PRESUPUESTO DE GASTOS'!Q6</f>
        <v>8026.7525000000005</v>
      </c>
      <c r="R7" s="267">
        <f>+'PRESUPUESTO DE GASTOS'!R6</f>
        <v>8026.7525000000005</v>
      </c>
      <c r="S7" s="267">
        <f>+'PRESUPUESTO DE GASTOS'!S6</f>
        <v>8026.7525000000005</v>
      </c>
      <c r="T7" s="267">
        <f>+'PRESUPUESTO DE GASTOS'!T6</f>
        <v>8026.7525000000005</v>
      </c>
      <c r="U7" s="267">
        <f>+'PRESUPUESTO DE GASTOS'!U6</f>
        <v>8026.7525000000005</v>
      </c>
      <c r="V7" s="267">
        <f>+'PRESUPUESTO DE GASTOS'!V6</f>
        <v>8026.7525000000005</v>
      </c>
      <c r="W7" s="267">
        <f>+'PRESUPUESTO DE GASTOS'!W6</f>
        <v>8026.7525000000005</v>
      </c>
      <c r="X7" s="267">
        <f>+'PRESUPUESTO DE GASTOS'!X6</f>
        <v>8026.7525000000005</v>
      </c>
      <c r="Y7" s="267">
        <f>+'PRESUPUESTO DE GASTOS'!Y6</f>
        <v>8026.7525000000005</v>
      </c>
    </row>
    <row r="8" spans="1:26" ht="12" customHeight="1">
      <c r="A8" s="268" t="s">
        <v>116</v>
      </c>
      <c r="B8" s="267">
        <f>+'PRESUPUESTO DE GASTOS'!B13</f>
        <v>1160</v>
      </c>
      <c r="C8" s="267">
        <f>+'PRESUPUESTO DE GASTOS'!C13</f>
        <v>1160</v>
      </c>
      <c r="D8" s="267">
        <f>+'PRESUPUESTO DE GASTOS'!D13</f>
        <v>1160</v>
      </c>
      <c r="E8" s="267">
        <f>+'PRESUPUESTO DE GASTOS'!E13</f>
        <v>1160</v>
      </c>
      <c r="F8" s="267">
        <f>+'PRESUPUESTO DE GASTOS'!F13</f>
        <v>1160</v>
      </c>
      <c r="G8" s="267">
        <f>+'PRESUPUESTO DE GASTOS'!G13</f>
        <v>1160</v>
      </c>
      <c r="H8" s="267">
        <f>+'PRESUPUESTO DE GASTOS'!H13</f>
        <v>1160</v>
      </c>
      <c r="I8" s="267">
        <f>+'PRESUPUESTO DE GASTOS'!I13</f>
        <v>1160</v>
      </c>
      <c r="J8" s="267">
        <f>+'PRESUPUESTO DE GASTOS'!J13</f>
        <v>1160</v>
      </c>
      <c r="K8" s="267">
        <f>+'PRESUPUESTO DE GASTOS'!K13</f>
        <v>1160</v>
      </c>
      <c r="L8" s="267">
        <f>+'PRESUPUESTO DE GASTOS'!L13</f>
        <v>1160</v>
      </c>
      <c r="M8" s="267">
        <f>+'PRESUPUESTO DE GASTOS'!M13</f>
        <v>1160</v>
      </c>
      <c r="N8" s="267">
        <f>+'PRESUPUESTO DE GASTOS'!N13</f>
        <v>1160</v>
      </c>
      <c r="O8" s="267">
        <f>+'PRESUPUESTO DE GASTOS'!O13</f>
        <v>1160</v>
      </c>
      <c r="P8" s="267">
        <f>+'PRESUPUESTO DE GASTOS'!P13</f>
        <v>1160</v>
      </c>
      <c r="Q8" s="267">
        <f>+'PRESUPUESTO DE GASTOS'!Q13</f>
        <v>1160</v>
      </c>
      <c r="R8" s="267">
        <f>+'PRESUPUESTO DE GASTOS'!R13</f>
        <v>1160</v>
      </c>
      <c r="S8" s="267">
        <f>+'PRESUPUESTO DE GASTOS'!S13</f>
        <v>1160</v>
      </c>
      <c r="T8" s="267">
        <f>+'PRESUPUESTO DE GASTOS'!T13</f>
        <v>1160</v>
      </c>
      <c r="U8" s="267">
        <f>+'PRESUPUESTO DE GASTOS'!U13</f>
        <v>1160</v>
      </c>
      <c r="V8" s="267">
        <f>+'PRESUPUESTO DE GASTOS'!V13</f>
        <v>1160</v>
      </c>
      <c r="W8" s="267">
        <f>+'PRESUPUESTO DE GASTOS'!W13</f>
        <v>1160</v>
      </c>
      <c r="X8" s="267">
        <f>+'PRESUPUESTO DE GASTOS'!X13</f>
        <v>1160</v>
      </c>
      <c r="Y8" s="267">
        <f>+'PRESUPUESTO DE GASTOS'!Y13</f>
        <v>1160</v>
      </c>
    </row>
    <row r="9" spans="1:26" ht="12" customHeight="1">
      <c r="A9" s="268" t="s">
        <v>117</v>
      </c>
      <c r="B9" s="267">
        <f>+'PRESUPUESTO DE GASTOS'!B28</f>
        <v>8911.5</v>
      </c>
      <c r="C9" s="267">
        <f>+'PRESUPUESTO DE GASTOS'!C28</f>
        <v>8911.5</v>
      </c>
      <c r="D9" s="267">
        <f>+'PRESUPUESTO DE GASTOS'!D28</f>
        <v>8911.5</v>
      </c>
      <c r="E9" s="267">
        <f>+'PRESUPUESTO DE GASTOS'!E28</f>
        <v>8911.5</v>
      </c>
      <c r="F9" s="267">
        <f>+'PRESUPUESTO DE GASTOS'!F28</f>
        <v>8911.5</v>
      </c>
      <c r="G9" s="267">
        <f>+'PRESUPUESTO DE GASTOS'!G28</f>
        <v>8911.5</v>
      </c>
      <c r="H9" s="267">
        <f>+'PRESUPUESTO DE GASTOS'!H28</f>
        <v>17359</v>
      </c>
      <c r="I9" s="267">
        <f>+'PRESUPUESTO DE GASTOS'!I28</f>
        <v>8911.5</v>
      </c>
      <c r="J9" s="267">
        <f>+'PRESUPUESTO DE GASTOS'!J28</f>
        <v>8911.5</v>
      </c>
      <c r="K9" s="267">
        <f>+'PRESUPUESTO DE GASTOS'!K28</f>
        <v>8911.5</v>
      </c>
      <c r="L9" s="267">
        <f>+'PRESUPUESTO DE GASTOS'!L28</f>
        <v>8911.5</v>
      </c>
      <c r="M9" s="267">
        <f>+'PRESUPUESTO DE GASTOS'!M28</f>
        <v>17359</v>
      </c>
      <c r="N9" s="267">
        <f>+'PRESUPUESTO DE GASTOS'!N28</f>
        <v>8911.5</v>
      </c>
      <c r="O9" s="267">
        <f>+'PRESUPUESTO DE GASTOS'!O28</f>
        <v>8911.5</v>
      </c>
      <c r="P9" s="267">
        <f>+'PRESUPUESTO DE GASTOS'!P28</f>
        <v>8911.5</v>
      </c>
      <c r="Q9" s="267">
        <f>+'PRESUPUESTO DE GASTOS'!Q28</f>
        <v>8911.5</v>
      </c>
      <c r="R9" s="267">
        <f>+'PRESUPUESTO DE GASTOS'!R28</f>
        <v>8911.5</v>
      </c>
      <c r="S9" s="267">
        <f>+'PRESUPUESTO DE GASTOS'!S28</f>
        <v>8911.5</v>
      </c>
      <c r="T9" s="267">
        <f>+'PRESUPUESTO DE GASTOS'!T28</f>
        <v>17359</v>
      </c>
      <c r="U9" s="267">
        <f>+'PRESUPUESTO DE GASTOS'!U28</f>
        <v>8911.5</v>
      </c>
      <c r="V9" s="267">
        <f>+'PRESUPUESTO DE GASTOS'!V28</f>
        <v>8911.5</v>
      </c>
      <c r="W9" s="267">
        <f>+'PRESUPUESTO DE GASTOS'!W28</f>
        <v>8911.5</v>
      </c>
      <c r="X9" s="267">
        <f>+'PRESUPUESTO DE GASTOS'!X28</f>
        <v>8911.5</v>
      </c>
      <c r="Y9" s="267">
        <f>+'PRESUPUESTO DE GASTOS'!Y28</f>
        <v>17359</v>
      </c>
    </row>
    <row r="10" spans="1:26" ht="12" customHeight="1">
      <c r="A10" s="268" t="s">
        <v>118</v>
      </c>
      <c r="B10" s="267">
        <f>+'PRESUPUESTO DE GASTOS'!B21</f>
        <v>2050</v>
      </c>
      <c r="C10" s="267">
        <f>+'PRESUPUESTO DE GASTOS'!C21</f>
        <v>1600</v>
      </c>
      <c r="D10" s="267">
        <f>+'PRESUPUESTO DE GASTOS'!D21</f>
        <v>1600</v>
      </c>
      <c r="E10" s="267">
        <f>+'PRESUPUESTO DE GASTOS'!E21</f>
        <v>1600</v>
      </c>
      <c r="F10" s="267">
        <f>+'PRESUPUESTO DE GASTOS'!F21</f>
        <v>1600</v>
      </c>
      <c r="G10" s="267">
        <f>+'PRESUPUESTO DE GASTOS'!G21</f>
        <v>1200</v>
      </c>
      <c r="H10" s="267">
        <f>+'PRESUPUESTO DE GASTOS'!H21</f>
        <v>1200</v>
      </c>
      <c r="I10" s="267">
        <f>+'PRESUPUESTO DE GASTOS'!I21</f>
        <v>400</v>
      </c>
      <c r="J10" s="267">
        <f>+'PRESUPUESTO DE GASTOS'!J21</f>
        <v>400</v>
      </c>
      <c r="K10" s="267">
        <f>+'PRESUPUESTO DE GASTOS'!K21</f>
        <v>400</v>
      </c>
      <c r="L10" s="267">
        <f>+'PRESUPUESTO DE GASTOS'!L21</f>
        <v>400</v>
      </c>
      <c r="M10" s="267">
        <f>+'PRESUPUESTO DE GASTOS'!M21</f>
        <v>425</v>
      </c>
      <c r="N10" s="267">
        <f>+'PRESUPUESTO DE GASTOS'!N21</f>
        <v>275</v>
      </c>
      <c r="O10" s="267">
        <f>+'PRESUPUESTO DE GASTOS'!O21</f>
        <v>25</v>
      </c>
      <c r="P10" s="267">
        <f>+'PRESUPUESTO DE GASTOS'!P21</f>
        <v>25</v>
      </c>
      <c r="Q10" s="267">
        <f>+'PRESUPUESTO DE GASTOS'!Q21</f>
        <v>0</v>
      </c>
      <c r="R10" s="267">
        <f>+'PRESUPUESTO DE GASTOS'!R21</f>
        <v>0</v>
      </c>
      <c r="S10" s="267">
        <f>+'PRESUPUESTO DE GASTOS'!S21</f>
        <v>0</v>
      </c>
      <c r="T10" s="267">
        <f>+'PRESUPUESTO DE GASTOS'!T21</f>
        <v>0</v>
      </c>
      <c r="U10" s="267">
        <f>+'PRESUPUESTO DE GASTOS'!U21</f>
        <v>0</v>
      </c>
      <c r="V10" s="267">
        <f>+'PRESUPUESTO DE GASTOS'!V21</f>
        <v>0</v>
      </c>
      <c r="W10" s="267">
        <f>+'PRESUPUESTO DE GASTOS'!W21</f>
        <v>0</v>
      </c>
      <c r="X10" s="267">
        <f>+'PRESUPUESTO DE GASTOS'!X21</f>
        <v>0</v>
      </c>
      <c r="Y10" s="267">
        <f>+'PRESUPUESTO DE GASTOS'!Y21</f>
        <v>150</v>
      </c>
    </row>
    <row r="11" spans="1:26" ht="12" customHeight="1">
      <c r="A11" s="268" t="s">
        <v>119</v>
      </c>
      <c r="B11" s="267">
        <f>+'PRESUPUESTO DE GASTOS'!B36</f>
        <v>158.16666666666666</v>
      </c>
      <c r="C11" s="267">
        <f>+'PRESUPUESTO DE GASTOS'!C36</f>
        <v>158.16666666666666</v>
      </c>
      <c r="D11" s="267">
        <f>+'PRESUPUESTO DE GASTOS'!D36</f>
        <v>158.16666666666666</v>
      </c>
      <c r="E11" s="267">
        <f>+'PRESUPUESTO DE GASTOS'!E36</f>
        <v>158.16666666666666</v>
      </c>
      <c r="F11" s="267">
        <f>+'PRESUPUESTO DE GASTOS'!F36</f>
        <v>158.16666666666666</v>
      </c>
      <c r="G11" s="267">
        <f>+'PRESUPUESTO DE GASTOS'!G36</f>
        <v>158.16666666666666</v>
      </c>
      <c r="H11" s="267">
        <f>+'PRESUPUESTO DE GASTOS'!H36</f>
        <v>158.16666666666666</v>
      </c>
      <c r="I11" s="267">
        <f>+'PRESUPUESTO DE GASTOS'!I36</f>
        <v>158.16666666666666</v>
      </c>
      <c r="J11" s="267">
        <f>+'PRESUPUESTO DE GASTOS'!J36</f>
        <v>158.16666666666666</v>
      </c>
      <c r="K11" s="267">
        <f>+'PRESUPUESTO DE GASTOS'!K36</f>
        <v>158.16666666666666</v>
      </c>
      <c r="L11" s="267">
        <f>+'PRESUPUESTO DE GASTOS'!L36</f>
        <v>158.16666666666666</v>
      </c>
      <c r="M11" s="267">
        <f>+'PRESUPUESTO DE GASTOS'!M36</f>
        <v>158.16666666666666</v>
      </c>
      <c r="N11" s="267">
        <f>+'PRESUPUESTO DE GASTOS'!N36</f>
        <v>158.16666666666666</v>
      </c>
      <c r="O11" s="267">
        <f>+'PRESUPUESTO DE GASTOS'!O36</f>
        <v>158.16666666666666</v>
      </c>
      <c r="P11" s="267">
        <f>+'PRESUPUESTO DE GASTOS'!P36</f>
        <v>158.16666666666666</v>
      </c>
      <c r="Q11" s="267">
        <f>+'PRESUPUESTO DE GASTOS'!Q36</f>
        <v>158.16666666666666</v>
      </c>
      <c r="R11" s="267">
        <f>+'PRESUPUESTO DE GASTOS'!R36</f>
        <v>158.16666666666666</v>
      </c>
      <c r="S11" s="267">
        <f>+'PRESUPUESTO DE GASTOS'!S36</f>
        <v>158.16666666666666</v>
      </c>
      <c r="T11" s="267">
        <f>+'PRESUPUESTO DE GASTOS'!T36</f>
        <v>158.16666666666666</v>
      </c>
      <c r="U11" s="267">
        <f>+'PRESUPUESTO DE GASTOS'!U36</f>
        <v>158.16666666666666</v>
      </c>
      <c r="V11" s="267">
        <f>+'PRESUPUESTO DE GASTOS'!V36</f>
        <v>158.16666666666666</v>
      </c>
      <c r="W11" s="267">
        <f>+'PRESUPUESTO DE GASTOS'!W36</f>
        <v>158.16666666666666</v>
      </c>
      <c r="X11" s="267">
        <f>+'PRESUPUESTO DE GASTOS'!X36</f>
        <v>158.16666666666666</v>
      </c>
      <c r="Y11" s="267">
        <f>+'PRESUPUESTO DE GASTOS'!Y36</f>
        <v>158.16666666666666</v>
      </c>
    </row>
    <row r="12" spans="1:26" ht="12" customHeight="1">
      <c r="A12" s="269" t="s">
        <v>113</v>
      </c>
      <c r="B12" s="265">
        <f>B4-B5</f>
        <v>12759.76083333333</v>
      </c>
      <c r="C12" s="265">
        <f t="shared" ref="C12:Y12" si="1">C4-C5</f>
        <v>13209.76083333333</v>
      </c>
      <c r="D12" s="265">
        <f t="shared" si="1"/>
        <v>13209.76083333333</v>
      </c>
      <c r="E12" s="265">
        <f t="shared" si="1"/>
        <v>13209.76083333333</v>
      </c>
      <c r="F12" s="265">
        <f t="shared" si="1"/>
        <v>13209.76083333333</v>
      </c>
      <c r="G12" s="265">
        <f t="shared" si="1"/>
        <v>13609.76083333333</v>
      </c>
      <c r="H12" s="265">
        <f t="shared" si="1"/>
        <v>1499.440833333334</v>
      </c>
      <c r="I12" s="265">
        <f t="shared" si="1"/>
        <v>14409.76083333333</v>
      </c>
      <c r="J12" s="265">
        <f t="shared" si="1"/>
        <v>14409.76083333333</v>
      </c>
      <c r="K12" s="265">
        <f t="shared" si="1"/>
        <v>14409.76083333333</v>
      </c>
      <c r="L12" s="265">
        <f t="shared" si="1"/>
        <v>14409.76083333333</v>
      </c>
      <c r="M12" s="265">
        <f t="shared" si="1"/>
        <v>2274.440833333334</v>
      </c>
      <c r="N12" s="265">
        <f t="shared" si="1"/>
        <v>14534.76083333333</v>
      </c>
      <c r="O12" s="265">
        <f t="shared" si="1"/>
        <v>14784.76083333333</v>
      </c>
      <c r="P12" s="265">
        <f t="shared" si="1"/>
        <v>14784.76083333333</v>
      </c>
      <c r="Q12" s="265">
        <f t="shared" si="1"/>
        <v>14809.76083333333</v>
      </c>
      <c r="R12" s="265">
        <f t="shared" si="1"/>
        <v>14809.76083333333</v>
      </c>
      <c r="S12" s="265">
        <f t="shared" si="1"/>
        <v>14809.76083333333</v>
      </c>
      <c r="T12" s="265">
        <f t="shared" si="1"/>
        <v>2699.440833333334</v>
      </c>
      <c r="U12" s="265">
        <f t="shared" si="1"/>
        <v>14809.76083333333</v>
      </c>
      <c r="V12" s="265">
        <f t="shared" si="1"/>
        <v>14809.76083333333</v>
      </c>
      <c r="W12" s="265">
        <f t="shared" si="1"/>
        <v>14809.76083333333</v>
      </c>
      <c r="X12" s="265">
        <f t="shared" si="1"/>
        <v>14809.76083333333</v>
      </c>
      <c r="Y12" s="265">
        <f t="shared" si="1"/>
        <v>2549.440833333334</v>
      </c>
    </row>
    <row r="13" spans="1:26" ht="12" customHeight="1">
      <c r="A13" s="263" t="s">
        <v>360</v>
      </c>
      <c r="B13" s="265">
        <f>0.02*B4</f>
        <v>734.58</v>
      </c>
      <c r="C13" s="265">
        <f t="shared" ref="C13:Y13" si="2">0.02*C4</f>
        <v>734.58</v>
      </c>
      <c r="D13" s="265">
        <f t="shared" si="2"/>
        <v>734.58</v>
      </c>
      <c r="E13" s="265">
        <f t="shared" si="2"/>
        <v>734.58</v>
      </c>
      <c r="F13" s="265">
        <f t="shared" si="2"/>
        <v>734.58</v>
      </c>
      <c r="G13" s="265">
        <f t="shared" si="2"/>
        <v>734.58</v>
      </c>
      <c r="H13" s="265">
        <f t="shared" si="2"/>
        <v>734.58</v>
      </c>
      <c r="I13" s="265">
        <f t="shared" si="2"/>
        <v>734.58</v>
      </c>
      <c r="J13" s="265">
        <f t="shared" si="2"/>
        <v>734.58</v>
      </c>
      <c r="K13" s="265">
        <f t="shared" si="2"/>
        <v>734.58</v>
      </c>
      <c r="L13" s="265">
        <f t="shared" si="2"/>
        <v>734.58</v>
      </c>
      <c r="M13" s="265">
        <f t="shared" si="2"/>
        <v>734.58</v>
      </c>
      <c r="N13" s="265">
        <f t="shared" si="2"/>
        <v>734.58</v>
      </c>
      <c r="O13" s="265">
        <f t="shared" si="2"/>
        <v>734.58</v>
      </c>
      <c r="P13" s="265">
        <f t="shared" si="2"/>
        <v>734.58</v>
      </c>
      <c r="Q13" s="265">
        <f t="shared" si="2"/>
        <v>734.58</v>
      </c>
      <c r="R13" s="265">
        <f t="shared" si="2"/>
        <v>734.58</v>
      </c>
      <c r="S13" s="265">
        <f t="shared" si="2"/>
        <v>734.58</v>
      </c>
      <c r="T13" s="265">
        <f t="shared" si="2"/>
        <v>734.58</v>
      </c>
      <c r="U13" s="265">
        <f t="shared" si="2"/>
        <v>734.58</v>
      </c>
      <c r="V13" s="265">
        <f t="shared" si="2"/>
        <v>734.58</v>
      </c>
      <c r="W13" s="265">
        <f t="shared" si="2"/>
        <v>734.58</v>
      </c>
      <c r="X13" s="265">
        <f t="shared" si="2"/>
        <v>734.58</v>
      </c>
      <c r="Y13" s="265">
        <f t="shared" si="2"/>
        <v>734.58</v>
      </c>
    </row>
    <row r="14" spans="1:26" ht="12" customHeight="1">
      <c r="A14" s="272" t="s">
        <v>114</v>
      </c>
      <c r="B14" s="273">
        <f>B12-B13</f>
        <v>12025.18083333333</v>
      </c>
      <c r="C14" s="273">
        <f t="shared" ref="C14:Y14" si="3">C12-C13</f>
        <v>12475.18083333333</v>
      </c>
      <c r="D14" s="273">
        <f t="shared" si="3"/>
        <v>12475.18083333333</v>
      </c>
      <c r="E14" s="273">
        <f t="shared" si="3"/>
        <v>12475.18083333333</v>
      </c>
      <c r="F14" s="273">
        <f t="shared" si="3"/>
        <v>12475.18083333333</v>
      </c>
      <c r="G14" s="273">
        <f t="shared" si="3"/>
        <v>12875.18083333333</v>
      </c>
      <c r="H14" s="273">
        <f t="shared" si="3"/>
        <v>764.86083333333397</v>
      </c>
      <c r="I14" s="273">
        <f t="shared" si="3"/>
        <v>13675.18083333333</v>
      </c>
      <c r="J14" s="273">
        <f t="shared" si="3"/>
        <v>13675.18083333333</v>
      </c>
      <c r="K14" s="273">
        <f t="shared" si="3"/>
        <v>13675.18083333333</v>
      </c>
      <c r="L14" s="273">
        <f t="shared" si="3"/>
        <v>13675.18083333333</v>
      </c>
      <c r="M14" s="273">
        <f t="shared" si="3"/>
        <v>1539.8608333333341</v>
      </c>
      <c r="N14" s="273">
        <f t="shared" si="3"/>
        <v>13800.18083333333</v>
      </c>
      <c r="O14" s="273">
        <f t="shared" si="3"/>
        <v>14050.18083333333</v>
      </c>
      <c r="P14" s="273">
        <f t="shared" si="3"/>
        <v>14050.18083333333</v>
      </c>
      <c r="Q14" s="273">
        <f t="shared" si="3"/>
        <v>14075.18083333333</v>
      </c>
      <c r="R14" s="273">
        <f t="shared" si="3"/>
        <v>14075.18083333333</v>
      </c>
      <c r="S14" s="273">
        <f t="shared" si="3"/>
        <v>14075.18083333333</v>
      </c>
      <c r="T14" s="273">
        <f t="shared" si="3"/>
        <v>1964.8608333333341</v>
      </c>
      <c r="U14" s="273">
        <f t="shared" si="3"/>
        <v>14075.18083333333</v>
      </c>
      <c r="V14" s="273">
        <f t="shared" si="3"/>
        <v>14075.18083333333</v>
      </c>
      <c r="W14" s="273">
        <f t="shared" si="3"/>
        <v>14075.18083333333</v>
      </c>
      <c r="X14" s="273">
        <f t="shared" si="3"/>
        <v>14075.18083333333</v>
      </c>
      <c r="Y14" s="273">
        <f t="shared" si="3"/>
        <v>1814.8608333333341</v>
      </c>
    </row>
    <row r="15" spans="1:26" ht="12.75">
      <c r="A15" s="272" t="s">
        <v>194</v>
      </c>
      <c r="B15" s="274">
        <f>B14/B4*100</f>
        <v>32.740289235572249</v>
      </c>
      <c r="C15" s="274">
        <f t="shared" ref="C15:X15" si="4">C14/C4*100</f>
        <v>33.965479140007432</v>
      </c>
      <c r="D15" s="274">
        <f t="shared" si="4"/>
        <v>33.965479140007432</v>
      </c>
      <c r="E15" s="274">
        <f t="shared" si="4"/>
        <v>33.965479140007432</v>
      </c>
      <c r="F15" s="274">
        <f t="shared" si="4"/>
        <v>33.965479140007432</v>
      </c>
      <c r="G15" s="274">
        <f t="shared" si="4"/>
        <v>35.054536832838714</v>
      </c>
      <c r="H15" s="274">
        <f t="shared" si="4"/>
        <v>2.0824439362175227</v>
      </c>
      <c r="I15" s="274">
        <f t="shared" si="4"/>
        <v>37.232652218501265</v>
      </c>
      <c r="J15" s="274">
        <f t="shared" si="4"/>
        <v>37.232652218501265</v>
      </c>
      <c r="K15" s="274">
        <f t="shared" si="4"/>
        <v>37.232652218501265</v>
      </c>
      <c r="L15" s="274">
        <f t="shared" si="4"/>
        <v>37.232652218501265</v>
      </c>
      <c r="M15" s="274">
        <f t="shared" si="4"/>
        <v>4.1924932160781241</v>
      </c>
      <c r="N15" s="274">
        <f t="shared" si="4"/>
        <v>37.572982747511041</v>
      </c>
      <c r="O15" s="274">
        <f t="shared" si="4"/>
        <v>38.253643805530594</v>
      </c>
      <c r="P15" s="274">
        <f t="shared" si="4"/>
        <v>38.253643805530594</v>
      </c>
      <c r="Q15" s="274">
        <f t="shared" si="4"/>
        <v>38.321709911332547</v>
      </c>
      <c r="R15" s="274">
        <f t="shared" si="4"/>
        <v>38.321709911332547</v>
      </c>
      <c r="S15" s="274">
        <f t="shared" si="4"/>
        <v>38.321709911332547</v>
      </c>
      <c r="T15" s="274">
        <f t="shared" si="4"/>
        <v>5.3496170147113569</v>
      </c>
      <c r="U15" s="274">
        <f t="shared" si="4"/>
        <v>38.321709911332547</v>
      </c>
      <c r="V15" s="274">
        <f t="shared" si="4"/>
        <v>38.321709911332547</v>
      </c>
      <c r="W15" s="274">
        <f t="shared" si="4"/>
        <v>38.321709911332547</v>
      </c>
      <c r="X15" s="274">
        <f t="shared" si="4"/>
        <v>38.321709911332547</v>
      </c>
      <c r="Y15" s="274">
        <f>Y14/Y4*100</f>
        <v>4.9412203798996277</v>
      </c>
    </row>
    <row r="16" spans="1:26" ht="12" customHeight="1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</row>
    <row r="17" spans="1:25" ht="12" customHeight="1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</row>
    <row r="18" spans="1:25" ht="12" customHeight="1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</row>
    <row r="19" spans="1:25" ht="12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ht="12" customHeight="1">
      <c r="A20" s="53"/>
      <c r="B20" s="53"/>
      <c r="C20" s="53"/>
      <c r="D20" s="270">
        <f>B14+C14+D14</f>
        <v>36975.542499999989</v>
      </c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</row>
    <row r="21" spans="1:25" ht="12" customHeight="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</row>
    <row r="22" spans="1:25" ht="12" customHeight="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</row>
    <row r="23" spans="1:25" ht="12" customHeight="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</row>
    <row r="24" spans="1:25" ht="12" customHeight="1">
      <c r="A24" s="53"/>
      <c r="B24" s="53"/>
      <c r="C24" s="53"/>
      <c r="D24" s="53"/>
      <c r="E24" s="53"/>
      <c r="F24" s="53"/>
      <c r="G24" s="270">
        <f>C13+B13+D13</f>
        <v>2203.7400000000002</v>
      </c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5" ht="12" customHeight="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</row>
    <row r="26" spans="1:25" ht="12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</row>
    <row r="27" spans="1:25" ht="12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</row>
    <row r="28" spans="1:25" ht="12" customHeight="1">
      <c r="A28" s="53"/>
      <c r="B28" s="53"/>
      <c r="C28" s="270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showGridLines="0" topLeftCell="A8" workbookViewId="0">
      <selection activeCell="D15" sqref="D15"/>
    </sheetView>
  </sheetViews>
  <sheetFormatPr baseColWidth="10" defaultRowHeight="16.5"/>
  <cols>
    <col min="1" max="1" width="4.5703125" style="1" customWidth="1"/>
    <col min="2" max="2" width="6" style="1" customWidth="1"/>
    <col min="3" max="3" width="31.42578125" style="1" customWidth="1"/>
    <col min="4" max="5" width="15.140625" style="1" customWidth="1"/>
    <col min="6" max="6" width="15.42578125" style="1" customWidth="1"/>
    <col min="7" max="7" width="14.7109375" style="1" customWidth="1"/>
    <col min="8" max="8" width="13.85546875" style="1" customWidth="1"/>
    <col min="9" max="9" width="13.28515625" style="1" customWidth="1"/>
    <col min="10" max="10" width="12.85546875" style="1" customWidth="1"/>
    <col min="11" max="11" width="13" style="1" customWidth="1"/>
    <col min="12" max="12" width="11.42578125" style="1"/>
    <col min="13" max="13" width="12.5703125" style="1" customWidth="1"/>
    <col min="14" max="16384" width="11.42578125" style="1"/>
  </cols>
  <sheetData>
    <row r="1" spans="1:12">
      <c r="A1" s="518" t="s">
        <v>318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242"/>
    </row>
    <row r="2" spans="1:12">
      <c r="A2" s="80"/>
      <c r="B2" s="80"/>
      <c r="C2" s="80"/>
      <c r="D2" s="80"/>
      <c r="E2" s="80"/>
      <c r="F2" s="242"/>
      <c r="G2" s="242"/>
      <c r="H2" s="242"/>
      <c r="I2" s="242"/>
      <c r="J2" s="242"/>
      <c r="K2" s="242"/>
      <c r="L2" s="242"/>
    </row>
    <row r="3" spans="1:12" s="18" customFormat="1" ht="35.25" customHeight="1">
      <c r="A3" s="516" t="s">
        <v>232</v>
      </c>
      <c r="B3" s="517"/>
      <c r="C3" s="517"/>
      <c r="D3" s="277" t="s">
        <v>224</v>
      </c>
      <c r="E3" s="277" t="s">
        <v>225</v>
      </c>
      <c r="F3" s="277" t="s">
        <v>226</v>
      </c>
      <c r="G3" s="277" t="s">
        <v>227</v>
      </c>
      <c r="H3" s="277" t="s">
        <v>228</v>
      </c>
      <c r="I3" s="277" t="s">
        <v>229</v>
      </c>
      <c r="J3" s="277" t="s">
        <v>230</v>
      </c>
      <c r="K3" s="277" t="s">
        <v>231</v>
      </c>
      <c r="L3" s="278"/>
    </row>
    <row r="4" spans="1:12">
      <c r="A4" s="279">
        <v>1</v>
      </c>
      <c r="B4" s="280" t="s">
        <v>197</v>
      </c>
      <c r="C4" s="281"/>
      <c r="D4" s="282"/>
      <c r="E4" s="282"/>
      <c r="F4" s="282"/>
      <c r="G4" s="282"/>
      <c r="H4" s="282"/>
      <c r="I4" s="282"/>
      <c r="J4" s="282"/>
      <c r="K4" s="283"/>
      <c r="L4" s="242"/>
    </row>
    <row r="5" spans="1:12">
      <c r="A5" s="284">
        <v>1.1000000000000001</v>
      </c>
      <c r="B5" s="285" t="s">
        <v>198</v>
      </c>
      <c r="C5" s="286"/>
      <c r="D5" s="287"/>
      <c r="E5" s="287"/>
      <c r="F5" s="287"/>
      <c r="G5" s="287"/>
      <c r="H5" s="287"/>
      <c r="I5" s="287"/>
      <c r="J5" s="287"/>
      <c r="K5" s="288"/>
      <c r="L5" s="242"/>
    </row>
    <row r="6" spans="1:12">
      <c r="A6" s="289" t="s">
        <v>233</v>
      </c>
      <c r="B6" s="290" t="s">
        <v>199</v>
      </c>
      <c r="C6" s="291" t="s">
        <v>200</v>
      </c>
      <c r="D6" s="292">
        <f>'FLUJO DE CAJA ECON FINANCI'!C17+'FLUJO DE CAJA ECON FINANCI'!D17+'FLUJO DE CAJA ECON FINANCI'!E17</f>
        <v>36092.086286543446</v>
      </c>
      <c r="E6" s="292">
        <f>'FLUJO DE CAJA ECON FINANCI'!F17+'FLUJO DE CAJA ECON FINANCI'!G17+'FLUJO DE CAJA ECON FINANCI'!H17+E28</f>
        <v>48929.997895368382</v>
      </c>
      <c r="F6" s="292">
        <f>'FLUJO DE CAJA ECON FINANCI'!I17+'FLUJO DE CAJA ECON FINANCI'!J17+'FLUJO DE CAJA ECON FINANCI'!K17+F28</f>
        <v>45378.657441658303</v>
      </c>
      <c r="G6" s="292">
        <f>'FLUJO DE CAJA ECON FINANCI'!L17+'FLUJO DE CAJA ECON FINANCI'!M17+'FLUJO DE CAJA ECON FINANCI'!N17+G28</f>
        <v>53102.854930245056</v>
      </c>
      <c r="H6" s="292">
        <f>'FLUJO DE CAJA ECON FINANCI'!O17+'FLUJO DE CAJA ECON FINANCI'!P17+'FLUJO DE CAJA ECON FINANCI'!Q17+H28</f>
        <v>78634.749166666676</v>
      </c>
      <c r="I6" s="292">
        <f>'FLUJO DE CAJA ECON FINANCI'!R17+'FLUJO DE CAJA ECON FINANCI'!S17+'FLUJO DE CAJA ECON FINANCI'!T17+I28</f>
        <v>93049.949166666687</v>
      </c>
      <c r="J6" s="292">
        <f>'FLUJO DE CAJA ECON FINANCI'!U17+'FLUJO DE CAJA ECON FINANCI'!V17+'FLUJO DE CAJA ECON FINANCI'!W17+J28</f>
        <v>90237.629166666709</v>
      </c>
      <c r="K6" s="292">
        <f>'FLUJO DE CAJA ECON FINANCI'!X17+'FLUJO DE CAJA ECON FINANCI'!Y17+'FLUJO DE CAJA ECON FINANCI'!Z17+K28</f>
        <v>100086.2091666667</v>
      </c>
      <c r="L6" s="242"/>
    </row>
    <row r="7" spans="1:12">
      <c r="A7" s="289" t="s">
        <v>234</v>
      </c>
      <c r="B7" s="289" t="s">
        <v>202</v>
      </c>
      <c r="C7" s="293" t="s">
        <v>203</v>
      </c>
      <c r="D7" s="294">
        <f>+'PRESUPUESTO DE GASTOS'!D7</f>
        <v>8026.7525000000005</v>
      </c>
      <c r="E7" s="294">
        <f>D7</f>
        <v>8026.7525000000005</v>
      </c>
      <c r="F7" s="294">
        <f t="shared" ref="F7:K7" si="0">E7</f>
        <v>8026.7525000000005</v>
      </c>
      <c r="G7" s="294">
        <f t="shared" si="0"/>
        <v>8026.7525000000005</v>
      </c>
      <c r="H7" s="294">
        <f t="shared" si="0"/>
        <v>8026.7525000000005</v>
      </c>
      <c r="I7" s="294">
        <f t="shared" si="0"/>
        <v>8026.7525000000005</v>
      </c>
      <c r="J7" s="294">
        <f t="shared" si="0"/>
        <v>8026.7525000000005</v>
      </c>
      <c r="K7" s="294">
        <f t="shared" si="0"/>
        <v>8026.7525000000005</v>
      </c>
      <c r="L7" s="242"/>
    </row>
    <row r="8" spans="1:12">
      <c r="A8" s="295">
        <v>1.1000000000000001</v>
      </c>
      <c r="B8" s="296" t="s">
        <v>204</v>
      </c>
      <c r="C8" s="296"/>
      <c r="D8" s="297">
        <f>SUM(D6:D7)</f>
        <v>44118.838786543449</v>
      </c>
      <c r="E8" s="297">
        <f t="shared" ref="E8:K8" si="1">SUM(E6:E7)</f>
        <v>56956.750395368384</v>
      </c>
      <c r="F8" s="297">
        <f t="shared" si="1"/>
        <v>53405.409941658305</v>
      </c>
      <c r="G8" s="297">
        <f t="shared" si="1"/>
        <v>61129.607430245058</v>
      </c>
      <c r="H8" s="297">
        <f t="shared" si="1"/>
        <v>86661.501666666678</v>
      </c>
      <c r="I8" s="297">
        <f t="shared" si="1"/>
        <v>101076.70166666669</v>
      </c>
      <c r="J8" s="297">
        <f t="shared" si="1"/>
        <v>98264.381666666712</v>
      </c>
      <c r="K8" s="297">
        <f t="shared" si="1"/>
        <v>108112.9616666667</v>
      </c>
      <c r="L8" s="242"/>
    </row>
    <row r="9" spans="1:12">
      <c r="A9" s="295" t="s">
        <v>235</v>
      </c>
      <c r="B9" s="285" t="s">
        <v>205</v>
      </c>
      <c r="C9" s="286"/>
      <c r="D9" s="298"/>
      <c r="E9" s="298"/>
      <c r="F9" s="298"/>
      <c r="G9" s="298"/>
      <c r="H9" s="299"/>
      <c r="I9" s="299"/>
      <c r="J9" s="299"/>
      <c r="K9" s="300"/>
      <c r="L9" s="242"/>
    </row>
    <row r="10" spans="1:12">
      <c r="A10" s="289" t="s">
        <v>236</v>
      </c>
      <c r="B10" s="289" t="s">
        <v>206</v>
      </c>
      <c r="C10" s="293" t="s">
        <v>207</v>
      </c>
      <c r="D10" s="294">
        <f>'INVERSION TOTAL'!E25</f>
        <v>11830</v>
      </c>
      <c r="E10" s="294">
        <f>D10</f>
        <v>11830</v>
      </c>
      <c r="F10" s="294">
        <f t="shared" ref="F10:K10" si="2">E10</f>
        <v>11830</v>
      </c>
      <c r="G10" s="294">
        <f t="shared" si="2"/>
        <v>11830</v>
      </c>
      <c r="H10" s="294">
        <f t="shared" si="2"/>
        <v>11830</v>
      </c>
      <c r="I10" s="294">
        <f t="shared" si="2"/>
        <v>11830</v>
      </c>
      <c r="J10" s="294">
        <f t="shared" si="2"/>
        <v>11830</v>
      </c>
      <c r="K10" s="294">
        <f t="shared" si="2"/>
        <v>11830</v>
      </c>
      <c r="L10" s="242"/>
    </row>
    <row r="11" spans="1:12">
      <c r="A11" s="289" t="s">
        <v>237</v>
      </c>
      <c r="B11" s="289" t="s">
        <v>208</v>
      </c>
      <c r="C11" s="293" t="s">
        <v>209</v>
      </c>
      <c r="D11" s="294">
        <f>'INVERSION TOTAL'!E39</f>
        <v>2193</v>
      </c>
      <c r="E11" s="294">
        <f>D11</f>
        <v>2193</v>
      </c>
      <c r="F11" s="294">
        <f t="shared" ref="F11:K11" si="3">E11</f>
        <v>2193</v>
      </c>
      <c r="G11" s="294">
        <f t="shared" si="3"/>
        <v>2193</v>
      </c>
      <c r="H11" s="294">
        <f t="shared" si="3"/>
        <v>2193</v>
      </c>
      <c r="I11" s="294">
        <f t="shared" si="3"/>
        <v>2193</v>
      </c>
      <c r="J11" s="294">
        <f t="shared" si="3"/>
        <v>2193</v>
      </c>
      <c r="K11" s="294">
        <f t="shared" si="3"/>
        <v>2193</v>
      </c>
      <c r="L11" s="242"/>
    </row>
    <row r="12" spans="1:12">
      <c r="A12" s="289" t="s">
        <v>238</v>
      </c>
      <c r="B12" s="289" t="s">
        <v>250</v>
      </c>
      <c r="C12" s="293" t="s">
        <v>251</v>
      </c>
      <c r="D12" s="294">
        <f>'DEPRECIACION DE EQUIPOS'!H16</f>
        <v>158.16666666666666</v>
      </c>
      <c r="E12" s="294">
        <f>D12</f>
        <v>158.16666666666666</v>
      </c>
      <c r="F12" s="294">
        <f t="shared" ref="F12:K12" si="4">E12</f>
        <v>158.16666666666666</v>
      </c>
      <c r="G12" s="294">
        <f t="shared" si="4"/>
        <v>158.16666666666666</v>
      </c>
      <c r="H12" s="294">
        <f t="shared" si="4"/>
        <v>158.16666666666666</v>
      </c>
      <c r="I12" s="294">
        <f t="shared" si="4"/>
        <v>158.16666666666666</v>
      </c>
      <c r="J12" s="294">
        <f t="shared" si="4"/>
        <v>158.16666666666666</v>
      </c>
      <c r="K12" s="294">
        <f t="shared" si="4"/>
        <v>158.16666666666666</v>
      </c>
      <c r="L12" s="242"/>
    </row>
    <row r="13" spans="1:12">
      <c r="A13" s="295">
        <v>1.2</v>
      </c>
      <c r="B13" s="301" t="s">
        <v>210</v>
      </c>
      <c r="C13" s="301"/>
      <c r="D13" s="302">
        <f>(SUM(D10:D11))-D12</f>
        <v>13864.833333333334</v>
      </c>
      <c r="E13" s="302">
        <f>(SUM(E10:E11))-E12</f>
        <v>13864.833333333334</v>
      </c>
      <c r="F13" s="302">
        <f t="shared" ref="F13:K13" si="5">(SUM(F10:F11))-F12</f>
        <v>13864.833333333334</v>
      </c>
      <c r="G13" s="302">
        <f t="shared" si="5"/>
        <v>13864.833333333334</v>
      </c>
      <c r="H13" s="302">
        <f t="shared" si="5"/>
        <v>13864.833333333334</v>
      </c>
      <c r="I13" s="302">
        <f t="shared" si="5"/>
        <v>13864.833333333334</v>
      </c>
      <c r="J13" s="302">
        <f t="shared" si="5"/>
        <v>13864.833333333334</v>
      </c>
      <c r="K13" s="302">
        <f t="shared" si="5"/>
        <v>13864.833333333334</v>
      </c>
      <c r="L13" s="242"/>
    </row>
    <row r="14" spans="1:12">
      <c r="A14" s="303">
        <v>1</v>
      </c>
      <c r="B14" s="304" t="s">
        <v>211</v>
      </c>
      <c r="C14" s="304"/>
      <c r="D14" s="305">
        <f>D13+D8</f>
        <v>57983.672119876785</v>
      </c>
      <c r="E14" s="305">
        <f>E13+E8</f>
        <v>70821.58372870172</v>
      </c>
      <c r="F14" s="305">
        <f t="shared" ref="F14:K14" si="6">F13+F8</f>
        <v>67270.243274991633</v>
      </c>
      <c r="G14" s="305">
        <f t="shared" si="6"/>
        <v>74994.440763578386</v>
      </c>
      <c r="H14" s="305">
        <f t="shared" si="6"/>
        <v>100526.33500000001</v>
      </c>
      <c r="I14" s="305">
        <f t="shared" si="6"/>
        <v>114941.53500000002</v>
      </c>
      <c r="J14" s="305">
        <f t="shared" si="6"/>
        <v>112129.21500000004</v>
      </c>
      <c r="K14" s="305">
        <f t="shared" si="6"/>
        <v>121977.79500000003</v>
      </c>
      <c r="L14" s="242"/>
    </row>
    <row r="15" spans="1:12">
      <c r="A15" s="279">
        <v>2</v>
      </c>
      <c r="B15" s="280" t="s">
        <v>239</v>
      </c>
      <c r="C15" s="281"/>
      <c r="D15" s="306"/>
      <c r="E15" s="306"/>
      <c r="F15" s="306"/>
      <c r="G15" s="306"/>
      <c r="H15" s="306"/>
      <c r="I15" s="306"/>
      <c r="J15" s="306"/>
      <c r="K15" s="307"/>
      <c r="L15" s="242"/>
    </row>
    <row r="16" spans="1:12">
      <c r="A16" s="284">
        <v>2.1</v>
      </c>
      <c r="B16" s="285" t="s">
        <v>212</v>
      </c>
      <c r="C16" s="286"/>
      <c r="D16" s="299"/>
      <c r="E16" s="299"/>
      <c r="F16" s="299"/>
      <c r="G16" s="299"/>
      <c r="H16" s="299"/>
      <c r="I16" s="299"/>
      <c r="J16" s="299"/>
      <c r="K16" s="300"/>
      <c r="L16" s="242"/>
    </row>
    <row r="17" spans="1:13">
      <c r="A17" s="289" t="s">
        <v>240</v>
      </c>
      <c r="B17" s="290" t="s">
        <v>257</v>
      </c>
      <c r="C17" s="291" t="s">
        <v>256</v>
      </c>
      <c r="D17" s="292">
        <f>'ESTADO DE GANACIAS Y PERDIDAS'!B13+'ESTADO DE GANACIAS Y PERDIDAS'!C13+'ESTADO DE GANACIAS Y PERDIDAS'!D13</f>
        <v>2203.7400000000002</v>
      </c>
      <c r="E17" s="292">
        <f>'ESTADO DE GANACIAS Y PERDIDAS'!E13+'ESTADO DE GANACIAS Y PERDIDAS'!F13+'ESTADO DE GANACIAS Y PERDIDAS'!G13</f>
        <v>2203.7400000000002</v>
      </c>
      <c r="F17" s="292">
        <f>'ESTADO DE GANACIAS Y PERDIDAS'!H13+'ESTADO DE GANACIAS Y PERDIDAS'!I13+'ESTADO DE GANACIAS Y PERDIDAS'!J13</f>
        <v>2203.7400000000002</v>
      </c>
      <c r="G17" s="292">
        <f>'ESTADO DE GANACIAS Y PERDIDAS'!K13+'ESTADO DE GANACIAS Y PERDIDAS'!L13+'ESTADO DE GANACIAS Y PERDIDAS'!M13</f>
        <v>2203.7400000000002</v>
      </c>
      <c r="H17" s="292">
        <f>'ESTADO DE GANACIAS Y PERDIDAS'!N13+'ESTADO DE GANACIAS Y PERDIDAS'!O13+'ESTADO DE GANACIAS Y PERDIDAS'!P13</f>
        <v>2203.7400000000002</v>
      </c>
      <c r="I17" s="292">
        <f>'ESTADO DE GANACIAS Y PERDIDAS'!Q13+'ESTADO DE GANACIAS Y PERDIDAS'!R13+'ESTADO DE GANACIAS Y PERDIDAS'!S13</f>
        <v>2203.7400000000002</v>
      </c>
      <c r="J17" s="292">
        <f>'ESTADO DE GANACIAS Y PERDIDAS'!T13+'ESTADO DE GANACIAS Y PERDIDAS'!U13+'ESTADO DE GANACIAS Y PERDIDAS'!V13</f>
        <v>2203.7400000000002</v>
      </c>
      <c r="K17" s="292">
        <f>'ESTADO DE GANACIAS Y PERDIDAS'!W13+'ESTADO DE GANACIAS Y PERDIDAS'!X13+'ESTADO DE GANACIAS Y PERDIDAS'!Y13</f>
        <v>2203.7400000000002</v>
      </c>
      <c r="L17" s="242"/>
    </row>
    <row r="18" spans="1:13">
      <c r="A18" s="289" t="s">
        <v>241</v>
      </c>
      <c r="B18" s="289" t="s">
        <v>213</v>
      </c>
      <c r="C18" s="293" t="s">
        <v>214</v>
      </c>
      <c r="D18" s="294">
        <v>0</v>
      </c>
      <c r="E18" s="294">
        <v>0</v>
      </c>
      <c r="F18" s="294">
        <v>0</v>
      </c>
      <c r="G18" s="308">
        <v>0</v>
      </c>
      <c r="H18" s="308">
        <v>0</v>
      </c>
      <c r="I18" s="308">
        <v>0</v>
      </c>
      <c r="J18" s="308">
        <v>0</v>
      </c>
      <c r="K18" s="308">
        <v>0</v>
      </c>
      <c r="L18" s="242"/>
    </row>
    <row r="19" spans="1:13">
      <c r="A19" s="289" t="s">
        <v>242</v>
      </c>
      <c r="B19" s="289" t="s">
        <v>215</v>
      </c>
      <c r="C19" s="293" t="s">
        <v>252</v>
      </c>
      <c r="D19" s="294">
        <f>'AMORTIZACION DE CREDITO'!C46</f>
        <v>10476.789358592461</v>
      </c>
      <c r="E19" s="294">
        <f>'AMORTIZACION DE CREDITO'!C49</f>
        <v>6926.300536103131</v>
      </c>
      <c r="F19" s="294">
        <f>'AMORTIZACION DE CREDITO'!C52</f>
        <v>3371.5283712950691</v>
      </c>
      <c r="G19" s="308">
        <v>0</v>
      </c>
      <c r="H19" s="308">
        <v>0</v>
      </c>
      <c r="I19" s="308">
        <v>0</v>
      </c>
      <c r="J19" s="308">
        <v>0</v>
      </c>
      <c r="K19" s="308">
        <v>0</v>
      </c>
      <c r="L19" s="242"/>
    </row>
    <row r="20" spans="1:13">
      <c r="A20" s="295">
        <v>2.1</v>
      </c>
      <c r="B20" s="301" t="s">
        <v>216</v>
      </c>
      <c r="C20" s="301"/>
      <c r="D20" s="302">
        <f>SUM(D17:D19)</f>
        <v>12680.529358592461</v>
      </c>
      <c r="E20" s="302">
        <f t="shared" ref="E20:K20" si="7">SUM(E17:E19)</f>
        <v>9130.0405361031317</v>
      </c>
      <c r="F20" s="302">
        <f t="shared" si="7"/>
        <v>5575.2683712950693</v>
      </c>
      <c r="G20" s="302">
        <f t="shared" si="7"/>
        <v>2203.7400000000002</v>
      </c>
      <c r="H20" s="302">
        <f t="shared" si="7"/>
        <v>2203.7400000000002</v>
      </c>
      <c r="I20" s="302">
        <f t="shared" si="7"/>
        <v>2203.7400000000002</v>
      </c>
      <c r="J20" s="302">
        <f t="shared" si="7"/>
        <v>2203.7400000000002</v>
      </c>
      <c r="K20" s="302">
        <f t="shared" si="7"/>
        <v>2203.7400000000002</v>
      </c>
      <c r="L20" s="242"/>
    </row>
    <row r="21" spans="1:13">
      <c r="A21" s="295">
        <v>2.2999999999999998</v>
      </c>
      <c r="B21" s="296" t="s">
        <v>217</v>
      </c>
      <c r="C21" s="296"/>
      <c r="D21" s="297">
        <f>D20</f>
        <v>12680.529358592461</v>
      </c>
      <c r="E21" s="297">
        <f t="shared" ref="E21:K21" si="8">E20</f>
        <v>9130.0405361031317</v>
      </c>
      <c r="F21" s="297">
        <f t="shared" si="8"/>
        <v>5575.2683712950693</v>
      </c>
      <c r="G21" s="297">
        <f t="shared" si="8"/>
        <v>2203.7400000000002</v>
      </c>
      <c r="H21" s="297">
        <f t="shared" si="8"/>
        <v>2203.7400000000002</v>
      </c>
      <c r="I21" s="297">
        <f t="shared" si="8"/>
        <v>2203.7400000000002</v>
      </c>
      <c r="J21" s="297">
        <f t="shared" si="8"/>
        <v>2203.7400000000002</v>
      </c>
      <c r="K21" s="297">
        <f t="shared" si="8"/>
        <v>2203.7400000000002</v>
      </c>
      <c r="L21" s="242"/>
      <c r="M21" s="474"/>
    </row>
    <row r="22" spans="1:13">
      <c r="A22" s="284">
        <v>2.4</v>
      </c>
      <c r="B22" s="285" t="s">
        <v>218</v>
      </c>
      <c r="C22" s="286"/>
      <c r="D22" s="299"/>
      <c r="E22" s="299"/>
      <c r="F22" s="299"/>
      <c r="G22" s="299"/>
      <c r="H22" s="299"/>
      <c r="I22" s="299"/>
      <c r="J22" s="299"/>
      <c r="K22" s="300"/>
      <c r="L22" s="242"/>
    </row>
    <row r="23" spans="1:13">
      <c r="A23" s="289" t="s">
        <v>243</v>
      </c>
      <c r="B23" s="290" t="s">
        <v>219</v>
      </c>
      <c r="C23" s="291" t="s">
        <v>220</v>
      </c>
      <c r="D23" s="292">
        <f>FINANCIAMIENTO!D5</f>
        <v>12796.252500000001</v>
      </c>
      <c r="E23" s="309">
        <f>D23</f>
        <v>12796.252500000001</v>
      </c>
      <c r="F23" s="309">
        <f t="shared" ref="F23:K23" si="9">E23</f>
        <v>12796.252500000001</v>
      </c>
      <c r="G23" s="309">
        <f t="shared" si="9"/>
        <v>12796.252500000001</v>
      </c>
      <c r="H23" s="309">
        <f t="shared" si="9"/>
        <v>12796.252500000001</v>
      </c>
      <c r="I23" s="309">
        <f t="shared" si="9"/>
        <v>12796.252500000001</v>
      </c>
      <c r="J23" s="309">
        <f t="shared" si="9"/>
        <v>12796.252500000001</v>
      </c>
      <c r="K23" s="309">
        <f t="shared" si="9"/>
        <v>12796.252500000001</v>
      </c>
      <c r="L23" s="242"/>
    </row>
    <row r="24" spans="1:13">
      <c r="A24" s="289" t="s">
        <v>244</v>
      </c>
      <c r="B24" s="289" t="s">
        <v>254</v>
      </c>
      <c r="C24" s="293" t="s">
        <v>253</v>
      </c>
      <c r="D24" s="294">
        <f>'ESTADO DE GANACIAS Y PERDIDAS'!B14+'ESTADO DE GANACIAS Y PERDIDAS'!C14+'ESTADO DE GANACIAS Y PERDIDAS'!D14</f>
        <v>36975.542499999989</v>
      </c>
      <c r="E24" s="308">
        <f>'ESTADO DE GANACIAS Y PERDIDAS'!E14+'ESTADO DE GANACIAS Y PERDIDAS'!F14+'ESTADO DE GANACIAS Y PERDIDAS'!G14</f>
        <v>37825.542499999989</v>
      </c>
      <c r="F24" s="308">
        <f>'ESTADO DE GANACIAS Y PERDIDAS'!H14+'ESTADO DE GANACIAS Y PERDIDAS'!I14+'ESTADO DE GANACIAS Y PERDIDAS'!J14</f>
        <v>28115.222499999996</v>
      </c>
      <c r="G24" s="308">
        <f>'ESTADO DE GANACIAS Y PERDIDAS'!K14+'ESTADO DE GANACIAS Y PERDIDAS'!L14+'ESTADO DE GANACIAS Y PERDIDAS'!M14</f>
        <v>28890.222499999996</v>
      </c>
      <c r="H24" s="308">
        <f>'ESTADO DE GANACIAS Y PERDIDAS'!N14+'ESTADO DE GANACIAS Y PERDIDAS'!O14+'ESTADO DE GANACIAS Y PERDIDAS'!P14</f>
        <v>41900.542499999989</v>
      </c>
      <c r="I24" s="308">
        <f>'ESTADO DE GANACIAS Y PERDIDAS'!Q14+'ESTADO DE GANACIAS Y PERDIDAS'!R14+'ESTADO DE GANACIAS Y PERDIDAS'!S14</f>
        <v>42225.542499999989</v>
      </c>
      <c r="J24" s="308">
        <f>'ESTADO DE GANACIAS Y PERDIDAS'!T14+'ESTADO DE GANACIAS Y PERDIDAS'!U14+'ESTADO DE GANACIAS Y PERDIDAS'!V14</f>
        <v>30115.222499999996</v>
      </c>
      <c r="K24" s="308">
        <f>'ESTADO DE GANACIAS Y PERDIDAS'!W14+'ESTADO DE GANACIAS Y PERDIDAS'!X14+'ESTADO DE GANACIAS Y PERDIDAS'!Y14</f>
        <v>29965.222499999996</v>
      </c>
      <c r="L24" s="242"/>
    </row>
    <row r="25" spans="1:13">
      <c r="A25" s="289" t="s">
        <v>245</v>
      </c>
      <c r="B25" s="289" t="s">
        <v>221</v>
      </c>
      <c r="C25" s="293" t="s">
        <v>255</v>
      </c>
      <c r="D25" s="294">
        <v>0</v>
      </c>
      <c r="E25" s="308">
        <f>D24+D25</f>
        <v>36975.542499999989</v>
      </c>
      <c r="F25" s="308">
        <f t="shared" ref="F25:K25" si="10">E24+E25</f>
        <v>74801.084999999977</v>
      </c>
      <c r="G25" s="308">
        <f t="shared" si="10"/>
        <v>102916.30749999997</v>
      </c>
      <c r="H25" s="308">
        <f t="shared" si="10"/>
        <v>131806.52999999997</v>
      </c>
      <c r="I25" s="308">
        <f t="shared" si="10"/>
        <v>173707.07249999995</v>
      </c>
      <c r="J25" s="308">
        <f t="shared" si="10"/>
        <v>215932.61499999993</v>
      </c>
      <c r="K25" s="308">
        <f t="shared" si="10"/>
        <v>246047.83749999994</v>
      </c>
      <c r="L25" s="242"/>
    </row>
    <row r="26" spans="1:13">
      <c r="A26" s="295">
        <v>2.4</v>
      </c>
      <c r="B26" s="301" t="s">
        <v>222</v>
      </c>
      <c r="C26" s="301"/>
      <c r="D26" s="302">
        <f>SUM(D23:D25)</f>
        <v>49771.794999999991</v>
      </c>
      <c r="E26" s="302">
        <f>SUM(E23:E25)</f>
        <v>87597.33749999998</v>
      </c>
      <c r="F26" s="302">
        <f t="shared" ref="F26:K26" si="11">SUM(F23:F25)</f>
        <v>115712.55999999997</v>
      </c>
      <c r="G26" s="302">
        <f t="shared" si="11"/>
        <v>144602.78249999997</v>
      </c>
      <c r="H26" s="302">
        <f t="shared" si="11"/>
        <v>186503.32499999995</v>
      </c>
      <c r="I26" s="302">
        <f t="shared" si="11"/>
        <v>228728.86749999993</v>
      </c>
      <c r="J26" s="302">
        <f t="shared" si="11"/>
        <v>258844.08999999994</v>
      </c>
      <c r="K26" s="302">
        <f t="shared" si="11"/>
        <v>288809.31249999994</v>
      </c>
      <c r="L26" s="242"/>
    </row>
    <row r="27" spans="1:13">
      <c r="A27" s="303">
        <v>2.5</v>
      </c>
      <c r="B27" s="310" t="s">
        <v>223</v>
      </c>
      <c r="C27" s="310"/>
      <c r="D27" s="311">
        <f>D26+D21</f>
        <v>62452.32435859245</v>
      </c>
      <c r="E27" s="311">
        <f t="shared" ref="E27:K27" si="12">E26+E21</f>
        <v>96727.378036103109</v>
      </c>
      <c r="F27" s="311">
        <f>F26+F21</f>
        <v>121287.82837129504</v>
      </c>
      <c r="G27" s="311">
        <f t="shared" si="12"/>
        <v>146806.52249999996</v>
      </c>
      <c r="H27" s="311">
        <f t="shared" si="12"/>
        <v>188707.06499999994</v>
      </c>
      <c r="I27" s="311">
        <f t="shared" si="12"/>
        <v>230932.60749999993</v>
      </c>
      <c r="J27" s="311">
        <f t="shared" si="12"/>
        <v>261047.82999999993</v>
      </c>
      <c r="K27" s="311">
        <f t="shared" si="12"/>
        <v>291013.05249999993</v>
      </c>
      <c r="L27" s="242"/>
    </row>
    <row r="28" spans="1:13">
      <c r="E28" s="23">
        <v>11987.911608824936</v>
      </c>
      <c r="F28" s="23">
        <v>18146.891155114856</v>
      </c>
      <c r="G28" s="23">
        <v>24907.276070945351</v>
      </c>
      <c r="H28" s="23">
        <v>34055.966666666682</v>
      </c>
      <c r="I28" s="23">
        <v>48146.166666666693</v>
      </c>
      <c r="J28" s="23">
        <v>57444.166666666708</v>
      </c>
      <c r="K28" s="23">
        <v>67442.746666666702</v>
      </c>
    </row>
    <row r="29" spans="1:13">
      <c r="E29" s="19"/>
      <c r="F29" s="19"/>
      <c r="G29" s="19"/>
      <c r="H29" s="19"/>
      <c r="I29" s="19"/>
      <c r="J29" s="19"/>
      <c r="K29" s="19"/>
    </row>
  </sheetData>
  <mergeCells count="2">
    <mergeCell ref="A3:C3"/>
    <mergeCell ref="A1:K1"/>
  </mergeCells>
  <printOptions horizontalCentered="1"/>
  <pageMargins left="0.70866141732283472" right="0.70866141732283472" top="0.74803149606299213" bottom="0.74803149606299213" header="0.31496062992125984" footer="0.31496062992125984"/>
  <pageSetup scale="8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6"/>
  <sheetViews>
    <sheetView showGridLines="0" topLeftCell="A3" zoomScaleNormal="100" workbookViewId="0">
      <selection activeCell="D22" sqref="D22"/>
    </sheetView>
  </sheetViews>
  <sheetFormatPr baseColWidth="10" defaultColWidth="13.7109375" defaultRowHeight="12.75"/>
  <cols>
    <col min="1" max="1" width="23.28515625" style="9" customWidth="1"/>
    <col min="2" max="2" width="13.42578125" style="9" customWidth="1"/>
    <col min="3" max="3" width="15.7109375" style="9" customWidth="1"/>
    <col min="4" max="7" width="15.5703125" style="9" customWidth="1"/>
    <col min="8" max="8" width="15.42578125" style="9" customWidth="1"/>
    <col min="9" max="9" width="15" style="9" customWidth="1"/>
    <col min="10" max="10" width="14.85546875" style="9" customWidth="1"/>
    <col min="11" max="12" width="14.140625" style="9" customWidth="1"/>
    <col min="13" max="13" width="14" style="9" customWidth="1"/>
    <col min="14" max="14" width="14.140625" style="9" customWidth="1"/>
    <col min="15" max="16" width="14" style="9" customWidth="1"/>
    <col min="17" max="18" width="13.7109375" style="9" customWidth="1"/>
    <col min="19" max="16384" width="13.7109375" style="9"/>
  </cols>
  <sheetData>
    <row r="1" spans="1:26" ht="13.5">
      <c r="A1" s="80" t="s">
        <v>125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11"/>
      <c r="N1" s="11"/>
      <c r="O1" s="11"/>
    </row>
    <row r="2" spans="1:26" ht="13.5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11"/>
      <c r="N2" s="11"/>
      <c r="O2" s="11"/>
      <c r="Y2" s="2" t="s">
        <v>126</v>
      </c>
      <c r="Z2" s="15">
        <v>0.32919999999999999</v>
      </c>
    </row>
    <row r="3" spans="1:26" ht="13.5">
      <c r="A3" s="262" t="s">
        <v>83</v>
      </c>
      <c r="B3" s="262"/>
      <c r="C3" s="262">
        <v>1</v>
      </c>
      <c r="D3" s="262">
        <v>2</v>
      </c>
      <c r="E3" s="262">
        <v>3</v>
      </c>
      <c r="F3" s="262">
        <v>4</v>
      </c>
      <c r="G3" s="262">
        <v>5</v>
      </c>
      <c r="H3" s="262">
        <v>6</v>
      </c>
      <c r="I3" s="262">
        <v>7</v>
      </c>
      <c r="J3" s="262">
        <v>8</v>
      </c>
      <c r="K3" s="262">
        <v>9</v>
      </c>
      <c r="L3" s="262">
        <v>10</v>
      </c>
      <c r="M3" s="14">
        <v>11</v>
      </c>
      <c r="N3" s="14">
        <v>12</v>
      </c>
      <c r="O3" s="14">
        <v>13</v>
      </c>
      <c r="P3" s="14">
        <v>14</v>
      </c>
      <c r="Q3" s="14">
        <v>15</v>
      </c>
      <c r="R3" s="14">
        <v>16</v>
      </c>
      <c r="S3" s="14">
        <v>17</v>
      </c>
      <c r="T3" s="14">
        <v>18</v>
      </c>
      <c r="U3" s="14">
        <v>19</v>
      </c>
      <c r="V3" s="14">
        <v>20</v>
      </c>
      <c r="W3" s="14">
        <v>21</v>
      </c>
      <c r="X3" s="14">
        <v>22</v>
      </c>
      <c r="Y3" s="14">
        <v>23</v>
      </c>
      <c r="Z3" s="14">
        <v>24</v>
      </c>
    </row>
    <row r="4" spans="1:26" ht="13.5">
      <c r="A4" s="312" t="s">
        <v>127</v>
      </c>
      <c r="B4" s="313"/>
      <c r="C4" s="73">
        <f>'ESTADO DE GANACIAS Y PERDIDAS'!B4</f>
        <v>36729</v>
      </c>
      <c r="D4" s="73">
        <f>'ESTADO DE GANACIAS Y PERDIDAS'!C4</f>
        <v>36729</v>
      </c>
      <c r="E4" s="73">
        <f>'ESTADO DE GANACIAS Y PERDIDAS'!D4</f>
        <v>36729</v>
      </c>
      <c r="F4" s="73">
        <f>'ESTADO DE GANACIAS Y PERDIDAS'!E4</f>
        <v>36729</v>
      </c>
      <c r="G4" s="73">
        <f>'ESTADO DE GANACIAS Y PERDIDAS'!F4</f>
        <v>36729</v>
      </c>
      <c r="H4" s="73">
        <f>'ESTADO DE GANACIAS Y PERDIDAS'!G4</f>
        <v>36729</v>
      </c>
      <c r="I4" s="73">
        <f>'ESTADO DE GANACIAS Y PERDIDAS'!H4</f>
        <v>36729</v>
      </c>
      <c r="J4" s="73">
        <f>'ESTADO DE GANACIAS Y PERDIDAS'!I4</f>
        <v>36729</v>
      </c>
      <c r="K4" s="73">
        <f>'ESTADO DE GANACIAS Y PERDIDAS'!J4</f>
        <v>36729</v>
      </c>
      <c r="L4" s="73">
        <f>'ESTADO DE GANACIAS Y PERDIDAS'!K4</f>
        <v>36729</v>
      </c>
      <c r="M4" s="25">
        <f>'ESTADO DE GANACIAS Y PERDIDAS'!L4</f>
        <v>36729</v>
      </c>
      <c r="N4" s="25">
        <f>'ESTADO DE GANACIAS Y PERDIDAS'!M4</f>
        <v>36729</v>
      </c>
      <c r="O4" s="25">
        <f>'ESTADO DE GANACIAS Y PERDIDAS'!N4</f>
        <v>36729</v>
      </c>
      <c r="P4" s="25">
        <f>'ESTADO DE GANACIAS Y PERDIDAS'!O4</f>
        <v>36729</v>
      </c>
      <c r="Q4" s="25">
        <f>'ESTADO DE GANACIAS Y PERDIDAS'!P4</f>
        <v>36729</v>
      </c>
      <c r="R4" s="25">
        <f>'ESTADO DE GANACIAS Y PERDIDAS'!Q4</f>
        <v>36729</v>
      </c>
      <c r="S4" s="25">
        <f>'ESTADO DE GANACIAS Y PERDIDAS'!R4</f>
        <v>36729</v>
      </c>
      <c r="T4" s="25">
        <f>'ESTADO DE GANACIAS Y PERDIDAS'!S4</f>
        <v>36729</v>
      </c>
      <c r="U4" s="25">
        <f>'ESTADO DE GANACIAS Y PERDIDAS'!T4</f>
        <v>36729</v>
      </c>
      <c r="V4" s="25">
        <f>'ESTADO DE GANACIAS Y PERDIDAS'!U4</f>
        <v>36729</v>
      </c>
      <c r="W4" s="25">
        <f>'ESTADO DE GANACIAS Y PERDIDAS'!V4</f>
        <v>36729</v>
      </c>
      <c r="X4" s="25">
        <f>'ESTADO DE GANACIAS Y PERDIDAS'!W4</f>
        <v>36729</v>
      </c>
      <c r="Y4" s="25">
        <f>'ESTADO DE GANACIAS Y PERDIDAS'!X4</f>
        <v>36729</v>
      </c>
      <c r="Z4" s="25">
        <f>'ESTADO DE GANACIAS Y PERDIDAS'!Y4</f>
        <v>36729</v>
      </c>
    </row>
    <row r="5" spans="1:26" ht="13.5">
      <c r="A5" s="312"/>
      <c r="B5" s="313"/>
      <c r="C5" s="73"/>
      <c r="D5" s="73"/>
      <c r="E5" s="73"/>
      <c r="F5" s="73"/>
      <c r="G5" s="73"/>
      <c r="H5" s="73"/>
      <c r="I5" s="73"/>
      <c r="J5" s="73"/>
      <c r="K5" s="73"/>
      <c r="L5" s="73"/>
      <c r="M5" s="25"/>
      <c r="N5" s="25"/>
      <c r="O5" s="25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3.5">
      <c r="A6" s="312" t="s">
        <v>128</v>
      </c>
      <c r="B6" s="313">
        <f>B7+B8+B9+B10</f>
        <v>26819.252500000002</v>
      </c>
      <c r="C6" s="73">
        <f t="shared" ref="C6:Z6" si="0">C7+C8+C9+C10</f>
        <v>23811.072500000002</v>
      </c>
      <c r="D6" s="73">
        <f t="shared" si="0"/>
        <v>23361.072500000002</v>
      </c>
      <c r="E6" s="73">
        <f t="shared" si="0"/>
        <v>23361.072500000002</v>
      </c>
      <c r="F6" s="73">
        <f>F7+F8+F9+F10</f>
        <v>23361.072500000002</v>
      </c>
      <c r="G6" s="73">
        <f t="shared" si="0"/>
        <v>23361.072500000002</v>
      </c>
      <c r="H6" s="73">
        <f t="shared" si="0"/>
        <v>22961.072500000002</v>
      </c>
      <c r="I6" s="73">
        <f t="shared" si="0"/>
        <v>35071.392500000002</v>
      </c>
      <c r="J6" s="73">
        <f t="shared" si="0"/>
        <v>22161.072500000002</v>
      </c>
      <c r="K6" s="73">
        <f t="shared" si="0"/>
        <v>22161.072500000002</v>
      </c>
      <c r="L6" s="73">
        <f t="shared" si="0"/>
        <v>22161.072500000002</v>
      </c>
      <c r="M6" s="25">
        <f t="shared" si="0"/>
        <v>22161.072500000002</v>
      </c>
      <c r="N6" s="25">
        <f t="shared" si="0"/>
        <v>34296.392500000002</v>
      </c>
      <c r="O6" s="25">
        <f t="shared" si="0"/>
        <v>22036.072500000002</v>
      </c>
      <c r="P6" s="25">
        <f t="shared" si="0"/>
        <v>21786.072500000002</v>
      </c>
      <c r="Q6" s="25">
        <f t="shared" si="0"/>
        <v>21786.072500000002</v>
      </c>
      <c r="R6" s="25">
        <f t="shared" si="0"/>
        <v>21761.072500000002</v>
      </c>
      <c r="S6" s="25">
        <f t="shared" si="0"/>
        <v>21761.072500000002</v>
      </c>
      <c r="T6" s="25">
        <f t="shared" si="0"/>
        <v>21761.072500000002</v>
      </c>
      <c r="U6" s="25">
        <f t="shared" si="0"/>
        <v>33871.392500000002</v>
      </c>
      <c r="V6" s="25">
        <f t="shared" si="0"/>
        <v>21761.072500000002</v>
      </c>
      <c r="W6" s="25">
        <f t="shared" si="0"/>
        <v>21761.072500000002</v>
      </c>
      <c r="X6" s="25">
        <f t="shared" si="0"/>
        <v>21761.072500000002</v>
      </c>
      <c r="Y6" s="25">
        <f t="shared" si="0"/>
        <v>21761.072500000002</v>
      </c>
      <c r="Z6" s="25">
        <f t="shared" si="0"/>
        <v>34021.392500000002</v>
      </c>
    </row>
    <row r="7" spans="1:26" ht="13.5">
      <c r="A7" s="312" t="s">
        <v>129</v>
      </c>
      <c r="B7" s="313">
        <f>'INVERSION TOTAL'!E87</f>
        <v>26819.252500000002</v>
      </c>
      <c r="C7" s="70"/>
      <c r="D7" s="73"/>
      <c r="E7" s="73"/>
      <c r="F7" s="73"/>
      <c r="G7" s="73"/>
      <c r="H7" s="73"/>
      <c r="I7" s="73"/>
      <c r="J7" s="73"/>
      <c r="K7" s="73"/>
      <c r="L7" s="73"/>
      <c r="M7" s="25"/>
      <c r="N7" s="25"/>
      <c r="O7" s="25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3.5">
      <c r="A8" s="312" t="s">
        <v>130</v>
      </c>
      <c r="B8" s="313"/>
      <c r="C8" s="73">
        <f>'PRESUPUESTO DE GASTOS'!B4</f>
        <v>12849.5725</v>
      </c>
      <c r="D8" s="73">
        <f>'PRESUPUESTO DE GASTOS'!C4</f>
        <v>12849.5725</v>
      </c>
      <c r="E8" s="73">
        <f>'PRESUPUESTO DE GASTOS'!D4</f>
        <v>12849.5725</v>
      </c>
      <c r="F8" s="73">
        <f>'PRESUPUESTO DE GASTOS'!E4</f>
        <v>12849.5725</v>
      </c>
      <c r="G8" s="73">
        <f>'PRESUPUESTO DE GASTOS'!F4</f>
        <v>12849.5725</v>
      </c>
      <c r="H8" s="73">
        <f>'PRESUPUESTO DE GASTOS'!G4</f>
        <v>12849.5725</v>
      </c>
      <c r="I8" s="73">
        <f>'PRESUPUESTO DE GASTOS'!H4</f>
        <v>16512.392500000002</v>
      </c>
      <c r="J8" s="73">
        <f>'PRESUPUESTO DE GASTOS'!I4</f>
        <v>12849.5725</v>
      </c>
      <c r="K8" s="73">
        <f>'PRESUPUESTO DE GASTOS'!J4</f>
        <v>12849.5725</v>
      </c>
      <c r="L8" s="73">
        <f>'PRESUPUESTO DE GASTOS'!K4</f>
        <v>12849.5725</v>
      </c>
      <c r="M8" s="25">
        <f>'PRESUPUESTO DE GASTOS'!L4</f>
        <v>12849.5725</v>
      </c>
      <c r="N8" s="25">
        <f>'PRESUPUESTO DE GASTOS'!M4</f>
        <v>16512.392500000002</v>
      </c>
      <c r="O8" s="25">
        <f>'PRESUPUESTO DE GASTOS'!N4</f>
        <v>12849.5725</v>
      </c>
      <c r="P8" s="25">
        <f>'PRESUPUESTO DE GASTOS'!O4</f>
        <v>12849.5725</v>
      </c>
      <c r="Q8" s="25">
        <f>'PRESUPUESTO DE GASTOS'!P4</f>
        <v>12849.5725</v>
      </c>
      <c r="R8" s="25">
        <f>'PRESUPUESTO DE GASTOS'!Q4</f>
        <v>12849.5725</v>
      </c>
      <c r="S8" s="25">
        <f>'PRESUPUESTO DE GASTOS'!R4</f>
        <v>12849.5725</v>
      </c>
      <c r="T8" s="25">
        <f>'PRESUPUESTO DE GASTOS'!S4</f>
        <v>12849.5725</v>
      </c>
      <c r="U8" s="25">
        <f>'PRESUPUESTO DE GASTOS'!T4</f>
        <v>16512.392500000002</v>
      </c>
      <c r="V8" s="25">
        <f>'PRESUPUESTO DE GASTOS'!U4</f>
        <v>12849.5725</v>
      </c>
      <c r="W8" s="25">
        <f>'PRESUPUESTO DE GASTOS'!V4</f>
        <v>12849.5725</v>
      </c>
      <c r="X8" s="25">
        <f>'PRESUPUESTO DE GASTOS'!W4</f>
        <v>12849.5725</v>
      </c>
      <c r="Y8" s="25">
        <f>'PRESUPUESTO DE GASTOS'!X4</f>
        <v>12849.5725</v>
      </c>
      <c r="Z8" s="25">
        <f>'PRESUPUESTO DE GASTOS'!Y4</f>
        <v>16512.392500000002</v>
      </c>
    </row>
    <row r="9" spans="1:26" ht="13.5">
      <c r="A9" s="312" t="s">
        <v>131</v>
      </c>
      <c r="B9" s="313"/>
      <c r="C9" s="73">
        <f>'PRESUPUESTO DE GASTOS'!B21</f>
        <v>2050</v>
      </c>
      <c r="D9" s="73">
        <f>'PRESUPUESTO DE GASTOS'!C21</f>
        <v>1600</v>
      </c>
      <c r="E9" s="73">
        <f>'PRESUPUESTO DE GASTOS'!D21</f>
        <v>1600</v>
      </c>
      <c r="F9" s="73">
        <f>'PRESUPUESTO DE GASTOS'!E21</f>
        <v>1600</v>
      </c>
      <c r="G9" s="73">
        <f>'PRESUPUESTO DE GASTOS'!F21</f>
        <v>1600</v>
      </c>
      <c r="H9" s="73">
        <f>'PRESUPUESTO DE GASTOS'!G21</f>
        <v>1200</v>
      </c>
      <c r="I9" s="73">
        <f>'PRESUPUESTO DE GASTOS'!H21</f>
        <v>1200</v>
      </c>
      <c r="J9" s="73">
        <f>'PRESUPUESTO DE GASTOS'!I21</f>
        <v>400</v>
      </c>
      <c r="K9" s="73">
        <f>'PRESUPUESTO DE GASTOS'!J21</f>
        <v>400</v>
      </c>
      <c r="L9" s="73">
        <f>'PRESUPUESTO DE GASTOS'!K21</f>
        <v>400</v>
      </c>
      <c r="M9" s="25">
        <f>'PRESUPUESTO DE GASTOS'!L21</f>
        <v>400</v>
      </c>
      <c r="N9" s="25">
        <f>'PRESUPUESTO DE GASTOS'!M21</f>
        <v>425</v>
      </c>
      <c r="O9" s="25">
        <f>'PRESUPUESTO DE GASTOS'!N21</f>
        <v>275</v>
      </c>
      <c r="P9" s="25">
        <f>'PRESUPUESTO DE GASTOS'!O21</f>
        <v>25</v>
      </c>
      <c r="Q9" s="25">
        <f>'PRESUPUESTO DE GASTOS'!P21</f>
        <v>25</v>
      </c>
      <c r="R9" s="25">
        <f>'PRESUPUESTO DE GASTOS'!Q21</f>
        <v>0</v>
      </c>
      <c r="S9" s="25">
        <f>'PRESUPUESTO DE GASTOS'!R21</f>
        <v>0</v>
      </c>
      <c r="T9" s="25">
        <f>'PRESUPUESTO DE GASTOS'!S21</f>
        <v>0</v>
      </c>
      <c r="U9" s="25">
        <f>'PRESUPUESTO DE GASTOS'!T21</f>
        <v>0</v>
      </c>
      <c r="V9" s="25">
        <f>'PRESUPUESTO DE GASTOS'!U21</f>
        <v>0</v>
      </c>
      <c r="W9" s="25">
        <f>'PRESUPUESTO DE GASTOS'!V21</f>
        <v>0</v>
      </c>
      <c r="X9" s="25">
        <f>'PRESUPUESTO DE GASTOS'!W21</f>
        <v>0</v>
      </c>
      <c r="Y9" s="25">
        <f>'PRESUPUESTO DE GASTOS'!X21</f>
        <v>0</v>
      </c>
      <c r="Z9" s="25">
        <f>'PRESUPUESTO DE GASTOS'!Y21</f>
        <v>150</v>
      </c>
    </row>
    <row r="10" spans="1:26" ht="13.5">
      <c r="A10" s="312" t="s">
        <v>132</v>
      </c>
      <c r="B10" s="313"/>
      <c r="C10" s="73">
        <f>'PRESUPUESTO DE GASTOS'!B28</f>
        <v>8911.5</v>
      </c>
      <c r="D10" s="73">
        <f>'PRESUPUESTO DE GASTOS'!C28</f>
        <v>8911.5</v>
      </c>
      <c r="E10" s="73">
        <f>'PRESUPUESTO DE GASTOS'!D28</f>
        <v>8911.5</v>
      </c>
      <c r="F10" s="73">
        <f>'PRESUPUESTO DE GASTOS'!E28</f>
        <v>8911.5</v>
      </c>
      <c r="G10" s="73">
        <f>'PRESUPUESTO DE GASTOS'!F28</f>
        <v>8911.5</v>
      </c>
      <c r="H10" s="73">
        <f>'PRESUPUESTO DE GASTOS'!G28</f>
        <v>8911.5</v>
      </c>
      <c r="I10" s="73">
        <f>'PRESUPUESTO DE GASTOS'!H28</f>
        <v>17359</v>
      </c>
      <c r="J10" s="73">
        <f>'PRESUPUESTO DE GASTOS'!I28</f>
        <v>8911.5</v>
      </c>
      <c r="K10" s="73">
        <f>'PRESUPUESTO DE GASTOS'!J28</f>
        <v>8911.5</v>
      </c>
      <c r="L10" s="73">
        <f>'PRESUPUESTO DE GASTOS'!K28</f>
        <v>8911.5</v>
      </c>
      <c r="M10" s="25">
        <f>'PRESUPUESTO DE GASTOS'!L28</f>
        <v>8911.5</v>
      </c>
      <c r="N10" s="25">
        <f>'PRESUPUESTO DE GASTOS'!M28</f>
        <v>17359</v>
      </c>
      <c r="O10" s="25">
        <f>'PRESUPUESTO DE GASTOS'!N28</f>
        <v>8911.5</v>
      </c>
      <c r="P10" s="25">
        <f>'PRESUPUESTO DE GASTOS'!O28</f>
        <v>8911.5</v>
      </c>
      <c r="Q10" s="25">
        <f>'PRESUPUESTO DE GASTOS'!P28</f>
        <v>8911.5</v>
      </c>
      <c r="R10" s="25">
        <f>'PRESUPUESTO DE GASTOS'!Q28</f>
        <v>8911.5</v>
      </c>
      <c r="S10" s="25">
        <f>'PRESUPUESTO DE GASTOS'!R28</f>
        <v>8911.5</v>
      </c>
      <c r="T10" s="25">
        <f>'PRESUPUESTO DE GASTOS'!S28</f>
        <v>8911.5</v>
      </c>
      <c r="U10" s="25">
        <f>'PRESUPUESTO DE GASTOS'!T28</f>
        <v>17359</v>
      </c>
      <c r="V10" s="25">
        <f>'PRESUPUESTO DE GASTOS'!U28</f>
        <v>8911.5</v>
      </c>
      <c r="W10" s="25">
        <f>'PRESUPUESTO DE GASTOS'!V28</f>
        <v>8911.5</v>
      </c>
      <c r="X10" s="25">
        <f>'PRESUPUESTO DE GASTOS'!W28</f>
        <v>8911.5</v>
      </c>
      <c r="Y10" s="25">
        <f>'PRESUPUESTO DE GASTOS'!X28</f>
        <v>8911.5</v>
      </c>
      <c r="Z10" s="25">
        <f>'PRESUPUESTO DE GASTOS'!Y28</f>
        <v>17359</v>
      </c>
    </row>
    <row r="11" spans="1:26" ht="13.5">
      <c r="A11" s="312"/>
      <c r="B11" s="31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25"/>
      <c r="N11" s="25"/>
      <c r="O11" s="25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3.5">
      <c r="A12" s="314" t="s">
        <v>133</v>
      </c>
      <c r="B12" s="315">
        <f>B4-B6</f>
        <v>-26819.252500000002</v>
      </c>
      <c r="C12" s="315">
        <f t="shared" ref="C12:Z12" si="1">C4-C6</f>
        <v>12917.927499999998</v>
      </c>
      <c r="D12" s="315">
        <f>D4-D6</f>
        <v>13367.927499999998</v>
      </c>
      <c r="E12" s="315">
        <f t="shared" si="1"/>
        <v>13367.927499999998</v>
      </c>
      <c r="F12" s="315">
        <f t="shared" si="1"/>
        <v>13367.927499999998</v>
      </c>
      <c r="G12" s="315">
        <f t="shared" si="1"/>
        <v>13367.927499999998</v>
      </c>
      <c r="H12" s="315">
        <f t="shared" si="1"/>
        <v>13767.927499999998</v>
      </c>
      <c r="I12" s="315">
        <f>I4-I6</f>
        <v>1657.6074999999983</v>
      </c>
      <c r="J12" s="315">
        <f t="shared" si="1"/>
        <v>14567.927499999998</v>
      </c>
      <c r="K12" s="315">
        <f t="shared" si="1"/>
        <v>14567.927499999998</v>
      </c>
      <c r="L12" s="315">
        <f t="shared" si="1"/>
        <v>14567.927499999998</v>
      </c>
      <c r="M12" s="16">
        <f t="shared" si="1"/>
        <v>14567.927499999998</v>
      </c>
      <c r="N12" s="16">
        <f t="shared" si="1"/>
        <v>2432.6074999999983</v>
      </c>
      <c r="O12" s="16">
        <f t="shared" si="1"/>
        <v>14692.927499999998</v>
      </c>
      <c r="P12" s="16">
        <f t="shared" si="1"/>
        <v>14942.927499999998</v>
      </c>
      <c r="Q12" s="16">
        <f t="shared" si="1"/>
        <v>14942.927499999998</v>
      </c>
      <c r="R12" s="16">
        <f t="shared" si="1"/>
        <v>14967.927499999998</v>
      </c>
      <c r="S12" s="16">
        <f t="shared" si="1"/>
        <v>14967.927499999998</v>
      </c>
      <c r="T12" s="16">
        <f t="shared" si="1"/>
        <v>14967.927499999998</v>
      </c>
      <c r="U12" s="16">
        <f t="shared" si="1"/>
        <v>2857.6074999999983</v>
      </c>
      <c r="V12" s="16">
        <f t="shared" si="1"/>
        <v>14967.927499999998</v>
      </c>
      <c r="W12" s="16">
        <f t="shared" si="1"/>
        <v>14967.927499999998</v>
      </c>
      <c r="X12" s="16">
        <f t="shared" si="1"/>
        <v>14967.927499999998</v>
      </c>
      <c r="Y12" s="16">
        <f t="shared" si="1"/>
        <v>14967.927499999998</v>
      </c>
      <c r="Z12" s="16">
        <f t="shared" si="1"/>
        <v>2707.6074999999983</v>
      </c>
    </row>
    <row r="13" spans="1:26" ht="13.5">
      <c r="A13" s="312" t="s">
        <v>134</v>
      </c>
      <c r="B13" s="313">
        <f>'AMORTIZACION DE CREDITO'!C3</f>
        <v>14023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25"/>
      <c r="N13" s="25"/>
      <c r="O13" s="25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3.5">
      <c r="A14" s="312" t="s">
        <v>135</v>
      </c>
      <c r="B14" s="313"/>
      <c r="C14" s="73">
        <f>'AMORTIZACION DE CREDITO'!D44</f>
        <v>1181.5951786878436</v>
      </c>
      <c r="D14" s="73">
        <f>'AMORTIZACION DE CREDITO'!D45</f>
        <v>1182.0701501603276</v>
      </c>
      <c r="E14" s="73">
        <f>'AMORTIZACION DE CREDITO'!D46</f>
        <v>1182.545312559369</v>
      </c>
      <c r="F14" s="73">
        <f>'AMORTIZACION DE CREDITO'!D47</f>
        <v>1183.0206659617156</v>
      </c>
      <c r="G14" s="73">
        <f>'AMORTIZACION DE CREDITO'!D48</f>
        <v>1183.4962104441456</v>
      </c>
      <c r="H14" s="73">
        <f>'AMORTIZACION DE CREDITO'!D49</f>
        <v>1183.9719460834685</v>
      </c>
      <c r="I14" s="73">
        <f>'AMORTIZACION DE CREDITO'!D50</f>
        <v>1184.4478729565246</v>
      </c>
      <c r="J14" s="73">
        <f>'AMORTIZACION DE CREDITO'!D51</f>
        <v>1184.9239911401853</v>
      </c>
      <c r="K14" s="73">
        <f>'AMORTIZACION DE CREDITO'!D52</f>
        <v>1185.400300711352</v>
      </c>
      <c r="L14" s="73">
        <f>'AMORTIZACION DE CREDITO'!D53</f>
        <v>3371.5283712950691</v>
      </c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3.5">
      <c r="A15" s="312" t="s">
        <v>136</v>
      </c>
      <c r="B15" s="313"/>
      <c r="C15" s="73">
        <f>'AMORTIZACION DE CREDITO'!E44</f>
        <v>5.6368924643386435</v>
      </c>
      <c r="D15" s="73">
        <f>'AMORTIZACION DE CREDITO'!E45</f>
        <v>5.1619209918546858</v>
      </c>
      <c r="E15" s="73">
        <f>'AMORTIZACION DE CREDITO'!E46</f>
        <v>4.6867585928132485</v>
      </c>
      <c r="F15" s="73">
        <f>'AMORTIZACION DE CREDITO'!E47</f>
        <v>4.2114051904666212</v>
      </c>
      <c r="G15" s="73">
        <f>'AMORTIZACION DE CREDITO'!E48</f>
        <v>3.7358607080366255</v>
      </c>
      <c r="H15" s="73">
        <f>'AMORTIZACION DE CREDITO'!E49</f>
        <v>3.2601250687137053</v>
      </c>
      <c r="I15" s="73">
        <f>'AMORTIZACION DE CREDITO'!E50</f>
        <v>2.7841981956576092</v>
      </c>
      <c r="J15" s="73">
        <f>'AMORTIZACION DE CREDITO'!E51</f>
        <v>2.3080800119969354</v>
      </c>
      <c r="K15" s="73">
        <f>'AMORTIZACION DE CREDITO'!E52</f>
        <v>1.8317704408302689</v>
      </c>
      <c r="L15" s="73">
        <f>'AMORTIZACION DE CREDITO'!E53</f>
        <v>1.3552694052240946</v>
      </c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3.5">
      <c r="A16" s="312"/>
      <c r="B16" s="31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25"/>
      <c r="N16" s="25"/>
      <c r="O16" s="25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3.5">
      <c r="A17" s="314" t="s">
        <v>137</v>
      </c>
      <c r="B17" s="315">
        <f>B12+B13</f>
        <v>-12796.252500000002</v>
      </c>
      <c r="C17" s="315">
        <f>C12-C14-C15</f>
        <v>11730.695428847815</v>
      </c>
      <c r="D17" s="315">
        <f t="shared" ref="D17:Z17" si="2">D12-D14-D15</f>
        <v>12180.695428847815</v>
      </c>
      <c r="E17" s="315">
        <f t="shared" si="2"/>
        <v>12180.695428847815</v>
      </c>
      <c r="F17" s="315">
        <f>F12-F14-F15</f>
        <v>12180.695428847815</v>
      </c>
      <c r="G17" s="315">
        <f t="shared" si="2"/>
        <v>12180.695428847815</v>
      </c>
      <c r="H17" s="315">
        <f t="shared" si="2"/>
        <v>12580.695428847817</v>
      </c>
      <c r="I17" s="315">
        <f t="shared" si="2"/>
        <v>470.37542884781601</v>
      </c>
      <c r="J17" s="315">
        <f t="shared" si="2"/>
        <v>13380.695428847815</v>
      </c>
      <c r="K17" s="315">
        <f t="shared" si="2"/>
        <v>13380.695428847815</v>
      </c>
      <c r="L17" s="315">
        <f t="shared" si="2"/>
        <v>11195.043859299705</v>
      </c>
      <c r="M17" s="16">
        <f t="shared" si="2"/>
        <v>14567.927499999998</v>
      </c>
      <c r="N17" s="16">
        <f t="shared" si="2"/>
        <v>2432.6074999999983</v>
      </c>
      <c r="O17" s="16">
        <f t="shared" si="2"/>
        <v>14692.927499999998</v>
      </c>
      <c r="P17" s="16">
        <f t="shared" si="2"/>
        <v>14942.927499999998</v>
      </c>
      <c r="Q17" s="16">
        <f t="shared" si="2"/>
        <v>14942.927499999998</v>
      </c>
      <c r="R17" s="16">
        <f t="shared" si="2"/>
        <v>14967.927499999998</v>
      </c>
      <c r="S17" s="16">
        <f t="shared" si="2"/>
        <v>14967.927499999998</v>
      </c>
      <c r="T17" s="16">
        <f t="shared" si="2"/>
        <v>14967.927499999998</v>
      </c>
      <c r="U17" s="16">
        <f t="shared" si="2"/>
        <v>2857.6074999999983</v>
      </c>
      <c r="V17" s="16">
        <f t="shared" si="2"/>
        <v>14967.927499999998</v>
      </c>
      <c r="W17" s="16">
        <f t="shared" si="2"/>
        <v>14967.927499999998</v>
      </c>
      <c r="X17" s="16">
        <f t="shared" si="2"/>
        <v>14967.927499999998</v>
      </c>
      <c r="Y17" s="16">
        <f t="shared" si="2"/>
        <v>14967.927499999998</v>
      </c>
      <c r="Z17" s="16">
        <f t="shared" si="2"/>
        <v>2707.6074999999983</v>
      </c>
    </row>
    <row r="18" spans="1:26" ht="13.5">
      <c r="A18" s="312" t="s">
        <v>138</v>
      </c>
      <c r="B18" s="73">
        <f>FINANCIAMIENTO!D5</f>
        <v>12796.252500000001</v>
      </c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25"/>
      <c r="N18" s="25"/>
      <c r="O18" s="25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>
      <c r="A19" s="312" t="s">
        <v>139</v>
      </c>
      <c r="B19" s="70">
        <v>0</v>
      </c>
      <c r="C19" s="70">
        <f>C17</f>
        <v>11730.695428847815</v>
      </c>
      <c r="D19" s="70">
        <f>C19+D17</f>
        <v>23911.390857695631</v>
      </c>
      <c r="E19" s="70">
        <f t="shared" ref="E19:Z19" si="3">D19+E17</f>
        <v>36092.086286543446</v>
      </c>
      <c r="F19" s="70">
        <f t="shared" si="3"/>
        <v>48272.781715391262</v>
      </c>
      <c r="G19" s="70">
        <f t="shared" si="3"/>
        <v>60453.477144239077</v>
      </c>
      <c r="H19" s="70">
        <f t="shared" si="3"/>
        <v>73034.172573086893</v>
      </c>
      <c r="I19" s="70">
        <f t="shared" si="3"/>
        <v>73504.548001934716</v>
      </c>
      <c r="J19" s="70">
        <f t="shared" si="3"/>
        <v>86885.243430782532</v>
      </c>
      <c r="K19" s="70">
        <f>J19+K17</f>
        <v>100265.93885963035</v>
      </c>
      <c r="L19" s="70">
        <f t="shared" si="3"/>
        <v>111460.98271893006</v>
      </c>
      <c r="M19" s="26">
        <f t="shared" si="3"/>
        <v>126028.91021893005</v>
      </c>
      <c r="N19" s="26">
        <f t="shared" si="3"/>
        <v>128461.51771893004</v>
      </c>
      <c r="O19" s="26">
        <f t="shared" si="3"/>
        <v>143154.44521893005</v>
      </c>
      <c r="P19" s="26">
        <f t="shared" si="3"/>
        <v>158097.37271893004</v>
      </c>
      <c r="Q19" s="26">
        <f t="shared" si="3"/>
        <v>173040.30021893003</v>
      </c>
      <c r="R19" s="26">
        <f t="shared" si="3"/>
        <v>188008.22771893002</v>
      </c>
      <c r="S19" s="26">
        <f t="shared" si="3"/>
        <v>202976.15521893001</v>
      </c>
      <c r="T19" s="26">
        <f t="shared" si="3"/>
        <v>217944.08271893</v>
      </c>
      <c r="U19" s="26">
        <f t="shared" si="3"/>
        <v>220801.69021893002</v>
      </c>
      <c r="V19" s="26">
        <f t="shared" si="3"/>
        <v>235769.61771893001</v>
      </c>
      <c r="W19" s="26">
        <f t="shared" si="3"/>
        <v>250737.54521893</v>
      </c>
      <c r="X19" s="26">
        <f t="shared" si="3"/>
        <v>265705.47271892999</v>
      </c>
      <c r="Y19" s="26">
        <f t="shared" si="3"/>
        <v>280673.40021892998</v>
      </c>
      <c r="Z19" s="26">
        <f t="shared" si="3"/>
        <v>283381.00771892996</v>
      </c>
    </row>
    <row r="20" spans="1:26">
      <c r="A20" s="316" t="s">
        <v>195</v>
      </c>
      <c r="B20" s="317">
        <f>IRR(B17:Z17)</f>
        <v>0.92747731841914494</v>
      </c>
      <c r="C20" s="53"/>
      <c r="D20" s="53"/>
      <c r="E20" s="53"/>
      <c r="F20" s="318"/>
      <c r="G20" s="53"/>
      <c r="H20" s="53"/>
      <c r="I20" s="53"/>
      <c r="J20" s="53"/>
      <c r="K20" s="53" t="s">
        <v>505</v>
      </c>
      <c r="L20" s="53"/>
    </row>
    <row r="21" spans="1:26">
      <c r="A21" s="316" t="s">
        <v>196</v>
      </c>
      <c r="B21" s="319">
        <f>NPV(Z2,B17:Z17)</f>
        <v>16880.495617493663</v>
      </c>
      <c r="C21" s="53"/>
      <c r="D21" s="53"/>
      <c r="E21" s="53"/>
      <c r="F21" s="53"/>
      <c r="G21" s="53"/>
      <c r="H21" s="53"/>
      <c r="I21" s="53"/>
      <c r="J21" s="53"/>
      <c r="K21" s="53"/>
      <c r="L21" s="53"/>
    </row>
    <row r="22" spans="1:26">
      <c r="A22" s="320" t="s">
        <v>248</v>
      </c>
      <c r="B22" s="321">
        <f>IRR(B12:Z12)</f>
        <v>0.48105951178364714</v>
      </c>
      <c r="C22" s="484" t="s">
        <v>571</v>
      </c>
      <c r="D22" s="485">
        <f>(('EVALUACION COSTO BENEFICIO'!D5:D28)/(1+'AMORTIZACION DE CREDITO'!C9)^'AMORTIZACION DE CREDITO'!C5)/(('EVALUACION COSTO BENEFICIO'!C4:C28)/(1+'AMORTIZACION DE CREDITO'!C9)^'AMORTIZACION DE CREDITO'!C5)</f>
        <v>2.6878304136893982</v>
      </c>
      <c r="E22" s="53"/>
      <c r="F22" s="53"/>
      <c r="G22" s="53"/>
      <c r="H22" s="53"/>
      <c r="I22" s="53"/>
      <c r="J22" s="53"/>
      <c r="K22" s="53"/>
      <c r="L22" s="53"/>
    </row>
    <row r="23" spans="1:26">
      <c r="A23" s="320" t="s">
        <v>249</v>
      </c>
      <c r="B23" s="322">
        <f>NPV(Z2,B12:Z12)</f>
        <v>8981.6726189234923</v>
      </c>
      <c r="C23" s="53"/>
      <c r="D23" s="53"/>
      <c r="E23" s="53"/>
      <c r="F23" s="53"/>
      <c r="G23" s="270"/>
      <c r="H23" s="53"/>
      <c r="I23" s="53"/>
      <c r="J23" s="53"/>
      <c r="K23" s="53"/>
      <c r="L23" s="53"/>
    </row>
    <row r="24" spans="1:26">
      <c r="A24" s="53"/>
      <c r="B24" s="53"/>
      <c r="C24" s="270"/>
      <c r="D24" s="270"/>
      <c r="E24" s="270"/>
      <c r="F24" s="270"/>
      <c r="G24" s="270"/>
      <c r="H24" s="270"/>
      <c r="I24" s="483"/>
      <c r="J24" s="483"/>
      <c r="K24" s="270"/>
      <c r="L24" s="270"/>
    </row>
    <row r="25" spans="1:26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</row>
    <row r="26" spans="1:26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481"/>
    </row>
    <row r="27" spans="1:26">
      <c r="A27" s="53"/>
      <c r="B27" s="53">
        <f>C4/C6</f>
        <v>1.5425176669383538</v>
      </c>
      <c r="C27" s="53"/>
      <c r="D27" s="53"/>
      <c r="E27" s="53"/>
      <c r="F27" s="53"/>
      <c r="G27" s="53"/>
      <c r="H27" s="53"/>
      <c r="I27" s="53"/>
      <c r="J27" s="53"/>
      <c r="K27" s="53"/>
      <c r="L27" s="53"/>
    </row>
    <row r="28" spans="1:26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</row>
    <row r="29" spans="1:26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</row>
    <row r="30" spans="1:26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</row>
    <row r="31" spans="1:26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</row>
    <row r="32" spans="1:26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</row>
    <row r="33" spans="1:12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</row>
    <row r="34" spans="1:12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</row>
    <row r="35" spans="1:12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</row>
    <row r="36" spans="1:12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</row>
    <row r="37" spans="1:12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</row>
    <row r="38" spans="1:12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</row>
    <row r="39" spans="1:12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</row>
    <row r="40" spans="1:12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</row>
    <row r="41" spans="1:12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</row>
    <row r="42" spans="1:12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</row>
    <row r="43" spans="1:12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</row>
    <row r="44" spans="1:12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</row>
    <row r="45" spans="1:12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</row>
    <row r="46" spans="1:12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</row>
    <row r="47" spans="1:12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</row>
    <row r="48" spans="1:12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</row>
    <row r="49" spans="1:12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</row>
    <row r="50" spans="1:12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</row>
    <row r="51" spans="1:12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</row>
    <row r="52" spans="1:12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</row>
    <row r="53" spans="1:12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</row>
    <row r="54" spans="1:12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</row>
    <row r="55" spans="1:12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</row>
    <row r="56" spans="1:12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</row>
    <row r="57" spans="1:12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</row>
    <row r="58" spans="1:12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</row>
    <row r="59" spans="1:12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</row>
    <row r="60" spans="1:12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</row>
    <row r="61" spans="1:12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</row>
    <row r="62" spans="1:12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</row>
    <row r="63" spans="1:12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</row>
    <row r="64" spans="1:12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</row>
    <row r="65" spans="1:12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</row>
    <row r="66" spans="1:12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</row>
    <row r="67" spans="1:12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</row>
    <row r="68" spans="1:12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</row>
    <row r="69" spans="1:12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</row>
    <row r="70" spans="1:12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</row>
    <row r="71" spans="1:12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</row>
    <row r="72" spans="1:12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</row>
    <row r="73" spans="1:12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</row>
    <row r="74" spans="1:12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</row>
    <row r="75" spans="1:12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</row>
    <row r="76" spans="1:12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</row>
    <row r="77" spans="1:12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</row>
    <row r="78" spans="1:12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</row>
    <row r="79" spans="1:12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</row>
    <row r="80" spans="1:12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</row>
    <row r="81" spans="1:12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</row>
    <row r="82" spans="1:12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</row>
    <row r="83" spans="1:12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</row>
    <row r="84" spans="1:12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</row>
    <row r="85" spans="1:12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</row>
    <row r="86" spans="1:12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</row>
    <row r="87" spans="1:12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</row>
    <row r="88" spans="1:12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</row>
    <row r="89" spans="1:12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</row>
    <row r="90" spans="1:12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</row>
    <row r="91" spans="1:12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</row>
    <row r="92" spans="1:12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</row>
    <row r="93" spans="1:12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</row>
    <row r="94" spans="1:12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</row>
    <row r="95" spans="1:12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</row>
    <row r="96" spans="1:12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</row>
    <row r="97" spans="1:12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</row>
    <row r="98" spans="1:12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</row>
    <row r="99" spans="1:12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</row>
    <row r="100" spans="1:12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</row>
    <row r="101" spans="1:12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</row>
    <row r="102" spans="1:12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</row>
    <row r="103" spans="1:12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</row>
    <row r="104" spans="1:12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</row>
    <row r="105" spans="1:12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</row>
    <row r="106" spans="1:12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</row>
    <row r="107" spans="1:12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</row>
    <row r="108" spans="1:12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</row>
    <row r="109" spans="1:12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</row>
    <row r="110" spans="1:12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</row>
    <row r="111" spans="1:12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</row>
    <row r="112" spans="1:12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</row>
    <row r="113" spans="1:12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</row>
    <row r="114" spans="1:12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</row>
    <row r="115" spans="1:12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</row>
    <row r="116" spans="1:12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</row>
    <row r="117" spans="1:12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</row>
    <row r="118" spans="1:12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</row>
    <row r="119" spans="1:12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</row>
    <row r="120" spans="1:12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</row>
    <row r="121" spans="1:12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</row>
    <row r="122" spans="1:12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</row>
    <row r="123" spans="1:12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</row>
    <row r="124" spans="1:12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</row>
    <row r="125" spans="1:12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</row>
    <row r="126" spans="1:12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</row>
    <row r="127" spans="1:12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</row>
    <row r="128" spans="1:12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</row>
    <row r="129" spans="1:12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</row>
    <row r="130" spans="1:12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</row>
    <row r="131" spans="1:12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</row>
    <row r="132" spans="1:12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</row>
    <row r="133" spans="1:12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</row>
    <row r="134" spans="1:12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</row>
    <row r="135" spans="1:12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</row>
    <row r="136" spans="1:12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</row>
    <row r="137" spans="1:12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</row>
    <row r="138" spans="1:12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</row>
    <row r="139" spans="1:12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</row>
    <row r="140" spans="1:12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</row>
    <row r="141" spans="1:12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</row>
    <row r="142" spans="1:12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</row>
    <row r="143" spans="1:12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</row>
    <row r="144" spans="1:12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</row>
    <row r="145" spans="1:12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</row>
    <row r="146" spans="1:12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</row>
    <row r="147" spans="1:12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</row>
    <row r="148" spans="1:12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</row>
    <row r="149" spans="1:12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</row>
    <row r="150" spans="1:12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</row>
    <row r="151" spans="1:12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</row>
    <row r="152" spans="1:12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</row>
    <row r="153" spans="1:12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</row>
    <row r="154" spans="1:12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</row>
    <row r="155" spans="1:12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</row>
    <row r="156" spans="1:12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</row>
    <row r="157" spans="1:12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</row>
    <row r="158" spans="1:12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</row>
    <row r="159" spans="1:12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</row>
    <row r="160" spans="1:12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</row>
    <row r="161" spans="1:12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</row>
    <row r="162" spans="1:12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</row>
    <row r="163" spans="1:12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</row>
    <row r="164" spans="1:12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</row>
    <row r="165" spans="1:12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</row>
    <row r="166" spans="1:12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</row>
    <row r="167" spans="1:12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</row>
    <row r="168" spans="1:12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</sheetData>
  <printOptions horizontalCentered="1"/>
  <pageMargins left="0.70866141732283472" right="0.11811023622047245" top="0.74803149606299213" bottom="0.74803149606299213" header="0.31496062992125984" footer="0.31496062992125984"/>
  <pageSetup paperSize="9" scale="35" orientation="landscape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showGridLines="0" view="pageLayout" topLeftCell="A43" zoomScaleNormal="166" workbookViewId="0">
      <selection activeCell="G3" sqref="G3"/>
    </sheetView>
  </sheetViews>
  <sheetFormatPr baseColWidth="10" defaultRowHeight="13.5"/>
  <cols>
    <col min="1" max="4" width="11.42578125" style="8"/>
    <col min="5" max="5" width="14" style="8" customWidth="1"/>
    <col min="6" max="6" width="15.42578125" style="8" customWidth="1"/>
    <col min="7" max="16384" width="11.42578125" style="8"/>
  </cols>
  <sheetData>
    <row r="1" spans="1:6">
      <c r="A1" s="515" t="s">
        <v>319</v>
      </c>
      <c r="B1" s="515"/>
      <c r="C1" s="515"/>
      <c r="D1" s="515"/>
      <c r="E1" s="515"/>
      <c r="F1" s="515"/>
    </row>
    <row r="2" spans="1:6">
      <c r="A2" s="187"/>
      <c r="B2" s="187"/>
      <c r="C2" s="53"/>
      <c r="D2" s="53"/>
      <c r="E2" s="53"/>
      <c r="F2" s="53"/>
    </row>
    <row r="3" spans="1:6">
      <c r="A3" s="409" t="s">
        <v>140</v>
      </c>
      <c r="B3" s="409" t="s">
        <v>127</v>
      </c>
      <c r="C3" s="409" t="s">
        <v>128</v>
      </c>
      <c r="D3" s="410" t="s">
        <v>416</v>
      </c>
      <c r="E3" s="323"/>
      <c r="F3" s="323"/>
    </row>
    <row r="4" spans="1:6">
      <c r="A4" s="324">
        <v>0</v>
      </c>
      <c r="B4" s="264"/>
      <c r="C4" s="264">
        <f>'FLUJO DE CAJA ECON FINANCI'!B6</f>
        <v>26819.252500000002</v>
      </c>
      <c r="D4" s="325"/>
      <c r="E4" s="326"/>
      <c r="F4" s="326"/>
    </row>
    <row r="5" spans="1:6">
      <c r="A5" s="324">
        <v>1</v>
      </c>
      <c r="B5" s="264">
        <f>'FLUJO DE CAJA ECON FINANCI'!C4</f>
        <v>36729</v>
      </c>
      <c r="C5" s="264">
        <f>'FLUJO DE CAJA ECON FINANCI'!C6</f>
        <v>23811.072500000002</v>
      </c>
      <c r="D5" s="325">
        <f>(C5-(-B5))</f>
        <v>60540.072500000002</v>
      </c>
      <c r="E5" s="326"/>
      <c r="F5" s="326"/>
    </row>
    <row r="6" spans="1:6">
      <c r="A6" s="324">
        <v>2</v>
      </c>
      <c r="B6" s="264">
        <f>'FLUJO DE CAJA ECON FINANCI'!D4</f>
        <v>36729</v>
      </c>
      <c r="C6" s="264">
        <f>'FLUJO DE CAJA ECON FINANCI'!D6</f>
        <v>23361.072500000002</v>
      </c>
      <c r="D6" s="325">
        <f t="shared" ref="D6:D28" si="0">(C6-(-B6))</f>
        <v>60090.072500000002</v>
      </c>
      <c r="E6" s="326"/>
      <c r="F6" s="326"/>
    </row>
    <row r="7" spans="1:6">
      <c r="A7" s="324">
        <v>3</v>
      </c>
      <c r="B7" s="264">
        <f>'FLUJO DE CAJA ECON FINANCI'!E4</f>
        <v>36729</v>
      </c>
      <c r="C7" s="264">
        <f>'FLUJO DE CAJA ECON FINANCI'!E6</f>
        <v>23361.072500000002</v>
      </c>
      <c r="D7" s="325">
        <f t="shared" si="0"/>
        <v>60090.072500000002</v>
      </c>
      <c r="E7" s="326"/>
      <c r="F7" s="326"/>
    </row>
    <row r="8" spans="1:6">
      <c r="A8" s="324">
        <v>4</v>
      </c>
      <c r="B8" s="264">
        <f>'FLUJO DE CAJA ECON FINANCI'!F4</f>
        <v>36729</v>
      </c>
      <c r="C8" s="264">
        <f>'FLUJO DE CAJA ECON FINANCI'!F6</f>
        <v>23361.072500000002</v>
      </c>
      <c r="D8" s="325">
        <f t="shared" si="0"/>
        <v>60090.072500000002</v>
      </c>
      <c r="E8" s="326"/>
      <c r="F8" s="326"/>
    </row>
    <row r="9" spans="1:6">
      <c r="A9" s="324">
        <v>5</v>
      </c>
      <c r="B9" s="264">
        <f>'FLUJO DE CAJA ECON FINANCI'!G4</f>
        <v>36729</v>
      </c>
      <c r="C9" s="264">
        <f>'FLUJO DE CAJA ECON FINANCI'!G6</f>
        <v>23361.072500000002</v>
      </c>
      <c r="D9" s="325">
        <f t="shared" si="0"/>
        <v>60090.072500000002</v>
      </c>
      <c r="E9" s="326"/>
      <c r="F9" s="326"/>
    </row>
    <row r="10" spans="1:6">
      <c r="A10" s="324">
        <v>6</v>
      </c>
      <c r="B10" s="264">
        <f>'FLUJO DE CAJA ECON FINANCI'!H4</f>
        <v>36729</v>
      </c>
      <c r="C10" s="264">
        <f>'FLUJO DE CAJA ECON FINANCI'!H6</f>
        <v>22961.072500000002</v>
      </c>
      <c r="D10" s="325">
        <f t="shared" si="0"/>
        <v>59690.072500000002</v>
      </c>
      <c r="E10" s="326"/>
      <c r="F10" s="326"/>
    </row>
    <row r="11" spans="1:6">
      <c r="A11" s="324">
        <v>7</v>
      </c>
      <c r="B11" s="264">
        <f>'FLUJO DE CAJA ECON FINANCI'!I4</f>
        <v>36729</v>
      </c>
      <c r="C11" s="264">
        <f>'FLUJO DE CAJA ECON FINANCI'!I6</f>
        <v>35071.392500000002</v>
      </c>
      <c r="D11" s="325">
        <f t="shared" si="0"/>
        <v>71800.392500000002</v>
      </c>
      <c r="E11" s="326"/>
      <c r="F11" s="326"/>
    </row>
    <row r="12" spans="1:6">
      <c r="A12" s="324">
        <v>8</v>
      </c>
      <c r="B12" s="264">
        <f>'FLUJO DE CAJA ECON FINANCI'!J4</f>
        <v>36729</v>
      </c>
      <c r="C12" s="264">
        <f>'FLUJO DE CAJA ECON FINANCI'!J6</f>
        <v>22161.072500000002</v>
      </c>
      <c r="D12" s="325">
        <f t="shared" si="0"/>
        <v>58890.072500000002</v>
      </c>
      <c r="E12" s="326"/>
      <c r="F12" s="326"/>
    </row>
    <row r="13" spans="1:6">
      <c r="A13" s="324">
        <v>9</v>
      </c>
      <c r="B13" s="264">
        <f>'FLUJO DE CAJA ECON FINANCI'!K4</f>
        <v>36729</v>
      </c>
      <c r="C13" s="264">
        <f>'FLUJO DE CAJA ECON FINANCI'!K6</f>
        <v>22161.072500000002</v>
      </c>
      <c r="D13" s="325">
        <f t="shared" si="0"/>
        <v>58890.072500000002</v>
      </c>
      <c r="E13" s="326"/>
      <c r="F13" s="326"/>
    </row>
    <row r="14" spans="1:6">
      <c r="A14" s="324">
        <v>10</v>
      </c>
      <c r="B14" s="264">
        <f>'FLUJO DE CAJA ECON FINANCI'!L4</f>
        <v>36729</v>
      </c>
      <c r="C14" s="264">
        <f>'FLUJO DE CAJA ECON FINANCI'!L6</f>
        <v>22161.072500000002</v>
      </c>
      <c r="D14" s="325">
        <f t="shared" si="0"/>
        <v>58890.072500000002</v>
      </c>
      <c r="E14" s="326"/>
      <c r="F14" s="326"/>
    </row>
    <row r="15" spans="1:6">
      <c r="A15" s="324">
        <v>11</v>
      </c>
      <c r="B15" s="264">
        <f>'FLUJO DE CAJA ECON FINANCI'!M4</f>
        <v>36729</v>
      </c>
      <c r="C15" s="264">
        <f>'FLUJO DE CAJA ECON FINANCI'!M6</f>
        <v>22161.072500000002</v>
      </c>
      <c r="D15" s="325">
        <f t="shared" si="0"/>
        <v>58890.072500000002</v>
      </c>
      <c r="E15" s="326"/>
      <c r="F15" s="326"/>
    </row>
    <row r="16" spans="1:6">
      <c r="A16" s="324">
        <v>12</v>
      </c>
      <c r="B16" s="264">
        <f>'FLUJO DE CAJA ECON FINANCI'!N4</f>
        <v>36729</v>
      </c>
      <c r="C16" s="264">
        <f>'FLUJO DE CAJA ECON FINANCI'!N6</f>
        <v>34296.392500000002</v>
      </c>
      <c r="D16" s="325">
        <f t="shared" si="0"/>
        <v>71025.392500000002</v>
      </c>
      <c r="E16" s="326"/>
      <c r="F16" s="326"/>
    </row>
    <row r="17" spans="1:6">
      <c r="A17" s="324">
        <v>13</v>
      </c>
      <c r="B17" s="264">
        <f>'FLUJO DE CAJA ECON FINANCI'!O4</f>
        <v>36729</v>
      </c>
      <c r="C17" s="264">
        <f>'FLUJO DE CAJA ECON FINANCI'!O6</f>
        <v>22036.072500000002</v>
      </c>
      <c r="D17" s="325">
        <f t="shared" si="0"/>
        <v>58765.072500000002</v>
      </c>
      <c r="E17" s="326"/>
      <c r="F17" s="326"/>
    </row>
    <row r="18" spans="1:6">
      <c r="A18" s="324">
        <v>14</v>
      </c>
      <c r="B18" s="264">
        <f>'FLUJO DE CAJA ECON FINANCI'!P4</f>
        <v>36729</v>
      </c>
      <c r="C18" s="264">
        <f>'FLUJO DE CAJA ECON FINANCI'!P6</f>
        <v>21786.072500000002</v>
      </c>
      <c r="D18" s="325">
        <f t="shared" si="0"/>
        <v>58515.072500000002</v>
      </c>
      <c r="E18" s="326"/>
      <c r="F18" s="326"/>
    </row>
    <row r="19" spans="1:6">
      <c r="A19" s="324">
        <v>15</v>
      </c>
      <c r="B19" s="264">
        <f>'FLUJO DE CAJA ECON FINANCI'!Q4</f>
        <v>36729</v>
      </c>
      <c r="C19" s="264">
        <f>'FLUJO DE CAJA ECON FINANCI'!Q6</f>
        <v>21786.072500000002</v>
      </c>
      <c r="D19" s="325">
        <f t="shared" si="0"/>
        <v>58515.072500000002</v>
      </c>
      <c r="E19" s="326"/>
      <c r="F19" s="326"/>
    </row>
    <row r="20" spans="1:6">
      <c r="A20" s="324">
        <v>16</v>
      </c>
      <c r="B20" s="264">
        <f>'FLUJO DE CAJA ECON FINANCI'!R4</f>
        <v>36729</v>
      </c>
      <c r="C20" s="264">
        <f>'FLUJO DE CAJA ECON FINANCI'!R6</f>
        <v>21761.072500000002</v>
      </c>
      <c r="D20" s="325">
        <f t="shared" si="0"/>
        <v>58490.072500000002</v>
      </c>
      <c r="E20" s="326"/>
      <c r="F20" s="326"/>
    </row>
    <row r="21" spans="1:6">
      <c r="A21" s="324">
        <v>17</v>
      </c>
      <c r="B21" s="264">
        <f>'FLUJO DE CAJA ECON FINANCI'!S4</f>
        <v>36729</v>
      </c>
      <c r="C21" s="264">
        <f>'FLUJO DE CAJA ECON FINANCI'!S6</f>
        <v>21761.072500000002</v>
      </c>
      <c r="D21" s="325">
        <f t="shared" si="0"/>
        <v>58490.072500000002</v>
      </c>
      <c r="E21" s="326"/>
      <c r="F21" s="326"/>
    </row>
    <row r="22" spans="1:6">
      <c r="A22" s="324">
        <v>18</v>
      </c>
      <c r="B22" s="264">
        <f>'FLUJO DE CAJA ECON FINANCI'!T4</f>
        <v>36729</v>
      </c>
      <c r="C22" s="264">
        <f>'FLUJO DE CAJA ECON FINANCI'!T6</f>
        <v>21761.072500000002</v>
      </c>
      <c r="D22" s="325">
        <f t="shared" si="0"/>
        <v>58490.072500000002</v>
      </c>
      <c r="E22" s="326"/>
      <c r="F22" s="326"/>
    </row>
    <row r="23" spans="1:6">
      <c r="A23" s="324">
        <v>19</v>
      </c>
      <c r="B23" s="264">
        <f>'FLUJO DE CAJA ECON FINANCI'!U4</f>
        <v>36729</v>
      </c>
      <c r="C23" s="264">
        <f>'FLUJO DE CAJA ECON FINANCI'!U6</f>
        <v>33871.392500000002</v>
      </c>
      <c r="D23" s="325">
        <f t="shared" si="0"/>
        <v>70600.392500000002</v>
      </c>
      <c r="E23" s="326"/>
      <c r="F23" s="326"/>
    </row>
    <row r="24" spans="1:6">
      <c r="A24" s="324">
        <v>20</v>
      </c>
      <c r="B24" s="264">
        <f>'FLUJO DE CAJA ECON FINANCI'!V4</f>
        <v>36729</v>
      </c>
      <c r="C24" s="264">
        <f>'FLUJO DE CAJA ECON FINANCI'!V6</f>
        <v>21761.072500000002</v>
      </c>
      <c r="D24" s="325">
        <f t="shared" si="0"/>
        <v>58490.072500000002</v>
      </c>
      <c r="E24" s="326"/>
      <c r="F24" s="326"/>
    </row>
    <row r="25" spans="1:6">
      <c r="A25" s="324">
        <v>21</v>
      </c>
      <c r="B25" s="264">
        <f>'FLUJO DE CAJA ECON FINANCI'!W4</f>
        <v>36729</v>
      </c>
      <c r="C25" s="264">
        <f>'FLUJO DE CAJA ECON FINANCI'!W6</f>
        <v>21761.072500000002</v>
      </c>
      <c r="D25" s="325">
        <f t="shared" si="0"/>
        <v>58490.072500000002</v>
      </c>
      <c r="E25" s="326"/>
      <c r="F25" s="326"/>
    </row>
    <row r="26" spans="1:6">
      <c r="A26" s="324">
        <v>22</v>
      </c>
      <c r="B26" s="264">
        <f>'FLUJO DE CAJA ECON FINANCI'!X4</f>
        <v>36729</v>
      </c>
      <c r="C26" s="264">
        <f>'FLUJO DE CAJA ECON FINANCI'!X6</f>
        <v>21761.072500000002</v>
      </c>
      <c r="D26" s="325">
        <f t="shared" si="0"/>
        <v>58490.072500000002</v>
      </c>
      <c r="E26" s="326"/>
      <c r="F26" s="326"/>
    </row>
    <row r="27" spans="1:6">
      <c r="A27" s="324">
        <v>23</v>
      </c>
      <c r="B27" s="264">
        <f>'FLUJO DE CAJA ECON FINANCI'!Y4</f>
        <v>36729</v>
      </c>
      <c r="C27" s="264">
        <f>'FLUJO DE CAJA ECON FINANCI'!Y6</f>
        <v>21761.072500000002</v>
      </c>
      <c r="D27" s="325">
        <f t="shared" si="0"/>
        <v>58490.072500000002</v>
      </c>
      <c r="E27" s="326"/>
      <c r="F27" s="326"/>
    </row>
    <row r="28" spans="1:6">
      <c r="A28" s="324">
        <v>24</v>
      </c>
      <c r="B28" s="264">
        <f>'FLUJO DE CAJA ECON FINANCI'!Z4</f>
        <v>36729</v>
      </c>
      <c r="C28" s="264">
        <f>'FLUJO DE CAJA ECON FINANCI'!Z6</f>
        <v>34021.392500000002</v>
      </c>
      <c r="D28" s="325">
        <f t="shared" si="0"/>
        <v>70750.392500000002</v>
      </c>
      <c r="E28" s="326"/>
      <c r="F28" s="326"/>
    </row>
    <row r="29" spans="1:6">
      <c r="A29" s="327"/>
      <c r="B29" s="327"/>
      <c r="C29" s="424" t="s">
        <v>46</v>
      </c>
      <c r="D29" s="425">
        <f>SUM(C4:D28)</f>
        <v>2076429.2925000004</v>
      </c>
      <c r="E29" s="328"/>
      <c r="F29" s="328">
        <f>'FLUJO DE CAJA ECON FINANCI'!B23/'EVALUACION COSTO BENEFICIO'!D29</f>
        <v>4.3255374268534067E-3</v>
      </c>
    </row>
    <row r="30" spans="1:6">
      <c r="A30" s="53"/>
      <c r="B30" s="53"/>
      <c r="C30" s="53"/>
      <c r="D30" s="53"/>
      <c r="E30" s="162"/>
      <c r="F30" s="482">
        <f>D29/'FLUJO DE CAJA ECON FINANCI'!B23</f>
        <v>231.18514564037551</v>
      </c>
    </row>
  </sheetData>
  <mergeCells count="1">
    <mergeCell ref="A1:F1"/>
  </mergeCells>
  <pageMargins left="0.70866141732283472" right="0.51181102362204722" top="0.35433070866141736" bottom="0.74803149606299213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6"/>
  <sheetViews>
    <sheetView showGridLines="0" topLeftCell="B3" zoomScale="85" zoomScaleNormal="85" workbookViewId="0">
      <selection activeCell="K27" sqref="K27"/>
    </sheetView>
  </sheetViews>
  <sheetFormatPr baseColWidth="10" defaultRowHeight="12.75"/>
  <cols>
    <col min="1" max="1" width="47.42578125" style="9" customWidth="1"/>
    <col min="2" max="2" width="11.42578125" style="9"/>
    <col min="3" max="3" width="15.42578125" style="9" customWidth="1"/>
    <col min="4" max="4" width="15.5703125" style="9" customWidth="1"/>
    <col min="5" max="5" width="16.42578125" style="9" customWidth="1"/>
    <col min="6" max="6" width="13.42578125" style="9" customWidth="1"/>
    <col min="7" max="7" width="18.28515625" style="9" customWidth="1"/>
    <col min="8" max="8" width="17.7109375" style="9" customWidth="1"/>
    <col min="9" max="9" width="16.140625" style="9" customWidth="1"/>
    <col min="10" max="16384" width="11.42578125" style="9"/>
  </cols>
  <sheetData>
    <row r="1" spans="1:9" ht="13.5">
      <c r="A1" s="53"/>
      <c r="B1" s="53"/>
      <c r="C1" s="53"/>
      <c r="D1" s="329" t="s">
        <v>141</v>
      </c>
      <c r="E1" s="53"/>
      <c r="F1" s="53"/>
      <c r="G1" s="53"/>
      <c r="H1" s="53"/>
      <c r="I1" s="53"/>
    </row>
    <row r="2" spans="1:9">
      <c r="A2" s="53"/>
      <c r="B2" s="53"/>
      <c r="C2" s="53"/>
      <c r="D2" s="53"/>
      <c r="E2" s="53"/>
      <c r="F2" s="53"/>
      <c r="G2" s="53"/>
      <c r="H2" s="53"/>
      <c r="I2" s="53"/>
    </row>
    <row r="3" spans="1:9" ht="22.5">
      <c r="A3" s="259" t="s">
        <v>353</v>
      </c>
      <c r="B3" s="259" t="s">
        <v>153</v>
      </c>
      <c r="C3" s="259" t="s">
        <v>154</v>
      </c>
      <c r="D3" s="259" t="s">
        <v>354</v>
      </c>
      <c r="E3" s="259" t="s">
        <v>149</v>
      </c>
      <c r="F3" s="259" t="s">
        <v>150</v>
      </c>
      <c r="G3" s="259" t="s">
        <v>151</v>
      </c>
      <c r="H3" s="259" t="s">
        <v>152</v>
      </c>
      <c r="I3" s="259" t="s">
        <v>155</v>
      </c>
    </row>
    <row r="4" spans="1:9">
      <c r="A4" s="200" t="str">
        <f>+'INGRESO POR VENTAS'!A13</f>
        <v>PIZZA GRANDE</v>
      </c>
      <c r="B4" s="209">
        <f>'INGRESO POR VENTAS'!B13</f>
        <v>50</v>
      </c>
      <c r="C4" s="330">
        <f>+'INVERSION TOTAL'!E42</f>
        <v>1473.835</v>
      </c>
      <c r="D4" s="330">
        <f>+'INVERSION TOTAL'!B43+'INVERSION TOTAL'!B44+'INVERSION TOTAL'!B45+'INVERSION TOTAL'!B46+'INVERSION TOTAL'!B47+'INVERSION TOTAL'!B48+'INVERSION TOTAL'!B49+F12+F13+F14</f>
        <v>23.971254693174721</v>
      </c>
      <c r="E4" s="331">
        <v>0.35</v>
      </c>
      <c r="F4" s="330">
        <f>'GASTOS INDIRECTOS'!E16+'PLANILLA DE EMPLEADOS'!K10+'PLANILLA DE EMPLEADOS'!K22+'AMORTIZACION DE CREDITO'!C10</f>
        <v>12044.732071152182</v>
      </c>
      <c r="G4" s="330">
        <f>B4*E4</f>
        <v>17.5</v>
      </c>
      <c r="H4" s="330">
        <f>D4*E4</f>
        <v>8.3899391426111514</v>
      </c>
      <c r="I4" s="330">
        <f>F4*E4</f>
        <v>4215.656224903264</v>
      </c>
    </row>
    <row r="5" spans="1:9">
      <c r="A5" s="200" t="str">
        <f>+'INGRESO POR VENTAS'!A14</f>
        <v>PIZZA MEDIANA</v>
      </c>
      <c r="B5" s="332">
        <f>'INGRESO POR VENTAS'!B14</f>
        <v>35</v>
      </c>
      <c r="C5" s="330">
        <f>+'INVERSION TOTAL'!E50</f>
        <v>1999.88</v>
      </c>
      <c r="D5" s="330">
        <f>+'INVERSION TOTAL'!B51+'INVERSION TOTAL'!B52+'INVERSION TOTAL'!B53+'INVERSION TOTAL'!B54+'INVERSION TOTAL'!B55+'INVERSION TOTAL'!B56+F12+F13+F14</f>
        <v>19.718754693174724</v>
      </c>
      <c r="E5" s="331">
        <v>0.2</v>
      </c>
      <c r="F5" s="330">
        <f>F4</f>
        <v>12044.732071152182</v>
      </c>
      <c r="G5" s="330">
        <f t="shared" ref="G5:G8" si="0">B5*E5</f>
        <v>7</v>
      </c>
      <c r="H5" s="330">
        <f t="shared" ref="H5:H8" si="1">D5*E5</f>
        <v>3.943750938634945</v>
      </c>
      <c r="I5" s="330">
        <f t="shared" ref="I5:I8" si="2">F5*E5</f>
        <v>2408.9464142304364</v>
      </c>
    </row>
    <row r="6" spans="1:9">
      <c r="A6" s="200" t="str">
        <f>+'INGRESO POR VENTAS'!A15</f>
        <v>PIZZA PEQUEÑA</v>
      </c>
      <c r="B6" s="210">
        <f>'INGRESO POR VENTAS'!B15</f>
        <v>20</v>
      </c>
      <c r="C6" s="330">
        <f>+'INVERSION TOTAL'!E57</f>
        <v>810.25</v>
      </c>
      <c r="D6" s="330">
        <f>+'INVERSION TOTAL'!B58+'INVERSION TOTAL'!B59+'INVERSION TOTAL'!B60+'INVERSION TOTAL'!B61+'INVERSION TOTAL'!B62+'INVERSION TOTAL'!B63+'INVERSION TOTAL'!B64+'INVERSION TOTAL'!B65+F12+F13+F14</f>
        <v>16.996254693174727</v>
      </c>
      <c r="E6" s="331">
        <v>0.1</v>
      </c>
      <c r="F6" s="330">
        <f t="shared" ref="F6:F8" si="3">F5</f>
        <v>12044.732071152182</v>
      </c>
      <c r="G6" s="330">
        <f t="shared" si="0"/>
        <v>2</v>
      </c>
      <c r="H6" s="330">
        <f t="shared" si="1"/>
        <v>1.6996254693174728</v>
      </c>
      <c r="I6" s="330">
        <f t="shared" si="2"/>
        <v>1204.4732071152182</v>
      </c>
    </row>
    <row r="7" spans="1:9">
      <c r="A7" s="200" t="str">
        <f>+'INGRESO POR VENTAS'!A16</f>
        <v>PIZZA GRANDE BORDE QUESO</v>
      </c>
      <c r="B7" s="214">
        <f>'INGRESO POR VENTAS'!B16</f>
        <v>55</v>
      </c>
      <c r="C7" s="330">
        <f>+'INVERSION TOTAL'!E66</f>
        <v>1588.135</v>
      </c>
      <c r="D7" s="330">
        <f>+'INVERSION TOTAL'!B67+'INVERSION TOTAL'!B68+'INVERSION TOTAL'!B69+'INVERSION TOTAL'!B70+'INVERSION TOTAL'!B71+'INVERSION TOTAL'!B72+F12+F14+F13</f>
        <v>24.871254693174723</v>
      </c>
      <c r="E7" s="331">
        <v>0.25</v>
      </c>
      <c r="F7" s="330">
        <f t="shared" si="3"/>
        <v>12044.732071152182</v>
      </c>
      <c r="G7" s="330">
        <f t="shared" si="0"/>
        <v>13.75</v>
      </c>
      <c r="H7" s="330">
        <f t="shared" si="1"/>
        <v>6.2178136732936808</v>
      </c>
      <c r="I7" s="330">
        <f t="shared" si="2"/>
        <v>3011.1830177880456</v>
      </c>
    </row>
    <row r="8" spans="1:9">
      <c r="A8" s="333" t="str">
        <f>+'INGRESO POR VENTAS'!A17</f>
        <v>PIZZA MEDIANA BORDE QUESO</v>
      </c>
      <c r="B8" s="214">
        <f>'INGRESO POR VENTAS'!B17</f>
        <v>38</v>
      </c>
      <c r="C8" s="334">
        <f>+'INVERSION TOTAL'!E73</f>
        <v>2154.6525000000001</v>
      </c>
      <c r="D8" s="330">
        <f>+'INVERSION TOTAL'!B74+'INVERSION TOTAL'!B75+'INVERSION TOTAL'!B76+'INVERSION TOTAL'!B77+'INVERSION TOTAL'!B78+'INVERSION TOTAL'!B79+F12+F13+F14</f>
        <v>20.258754693174723</v>
      </c>
      <c r="E8" s="335">
        <v>0.1</v>
      </c>
      <c r="F8" s="330">
        <f t="shared" si="3"/>
        <v>12044.732071152182</v>
      </c>
      <c r="G8" s="334">
        <f t="shared" si="0"/>
        <v>3.8000000000000003</v>
      </c>
      <c r="H8" s="334">
        <f t="shared" si="1"/>
        <v>2.0258754693174725</v>
      </c>
      <c r="I8" s="330">
        <f t="shared" si="2"/>
        <v>1204.4732071152182</v>
      </c>
    </row>
    <row r="9" spans="1:9">
      <c r="A9" s="520" t="s">
        <v>38</v>
      </c>
      <c r="B9" s="520"/>
      <c r="C9" s="520"/>
      <c r="D9" s="53"/>
      <c r="E9" s="519" t="s">
        <v>158</v>
      </c>
      <c r="F9" s="519"/>
      <c r="G9" s="336">
        <f>SUM(G4:G8)</f>
        <v>44.05</v>
      </c>
      <c r="H9" s="336">
        <f>SUM(H4:H8)</f>
        <v>22.277004693174725</v>
      </c>
      <c r="I9" s="336">
        <f>SUM(I4:I8)</f>
        <v>12044.732071152182</v>
      </c>
    </row>
    <row r="10" spans="1:9">
      <c r="A10" s="53"/>
      <c r="B10" s="53"/>
      <c r="C10" s="53"/>
      <c r="D10" s="53"/>
      <c r="E10" s="53"/>
      <c r="F10" s="53"/>
      <c r="G10" s="337"/>
      <c r="H10" s="338"/>
      <c r="I10" s="270"/>
    </row>
    <row r="11" spans="1:9">
      <c r="A11" s="232" t="s">
        <v>143</v>
      </c>
      <c r="B11" s="330">
        <f>I9</f>
        <v>12044.732071152182</v>
      </c>
      <c r="C11" s="171"/>
      <c r="D11" s="53"/>
      <c r="E11" s="53"/>
      <c r="F11" s="53"/>
      <c r="G11" s="337"/>
      <c r="H11" s="338"/>
      <c r="I11" s="270"/>
    </row>
    <row r="12" spans="1:9">
      <c r="A12" s="232" t="s">
        <v>157</v>
      </c>
      <c r="B12" s="330">
        <f>H9</f>
        <v>22.277004693174725</v>
      </c>
      <c r="C12" s="171"/>
      <c r="D12" s="53"/>
      <c r="E12" s="53" t="s">
        <v>430</v>
      </c>
      <c r="F12" s="337">
        <f>'GASTOS INDIRECTOS'!E16/'INGRESO POR VENTAS'!B9</f>
        <v>3.0903490759753591</v>
      </c>
      <c r="G12" s="337"/>
      <c r="H12" s="338"/>
      <c r="I12" s="270"/>
    </row>
    <row r="13" spans="1:9">
      <c r="A13" s="232" t="s">
        <v>156</v>
      </c>
      <c r="B13" s="330">
        <f>G9</f>
        <v>44.05</v>
      </c>
      <c r="C13" s="171"/>
      <c r="D13" s="53"/>
      <c r="E13" s="53" t="s">
        <v>431</v>
      </c>
      <c r="F13" s="337">
        <f>'AMORTIZACION DE CREDITO'!C10/'INGRESO POR VENTAS'!B9</f>
        <v>0.60290767058745609</v>
      </c>
      <c r="G13" s="337"/>
      <c r="H13" s="338"/>
      <c r="I13" s="270"/>
    </row>
    <row r="14" spans="1:9">
      <c r="A14" s="408" t="s">
        <v>159</v>
      </c>
      <c r="B14" s="239">
        <f>B11/(B13-B12)</f>
        <v>553.19591546398169</v>
      </c>
      <c r="C14" s="339"/>
      <c r="D14" s="53"/>
      <c r="E14" s="53" t="s">
        <v>432</v>
      </c>
      <c r="F14" s="337">
        <f>('PLANILLA DE EMPLEADOS'!K10+'PLANILLA DE EMPLEADOS'!K22)/'INGRESO POR VENTAS'!B9</f>
        <v>8.6729979466119094</v>
      </c>
      <c r="G14" s="337"/>
      <c r="H14" s="338"/>
      <c r="I14" s="270"/>
    </row>
    <row r="15" spans="1:9">
      <c r="A15" s="53"/>
      <c r="B15" s="337"/>
      <c r="C15" s="188"/>
      <c r="D15" s="53"/>
      <c r="E15" s="53"/>
      <c r="F15" s="53"/>
      <c r="G15" s="337"/>
      <c r="H15" s="338"/>
      <c r="I15" s="270"/>
    </row>
    <row r="16" spans="1:9">
      <c r="A16" s="53"/>
      <c r="B16" s="53"/>
      <c r="C16" s="53"/>
      <c r="D16" s="53"/>
      <c r="E16" s="53"/>
      <c r="F16" s="53"/>
      <c r="G16" s="53"/>
      <c r="H16" s="53"/>
      <c r="I16" s="53"/>
    </row>
    <row r="17" spans="1:23" ht="22.5">
      <c r="A17" s="259" t="s">
        <v>142</v>
      </c>
      <c r="B17" s="259" t="s">
        <v>143</v>
      </c>
      <c r="C17" s="259" t="s">
        <v>144</v>
      </c>
      <c r="D17" s="259" t="s">
        <v>145</v>
      </c>
      <c r="E17" s="259" t="s">
        <v>146</v>
      </c>
      <c r="F17" s="259" t="s">
        <v>127</v>
      </c>
      <c r="G17" s="259" t="s">
        <v>147</v>
      </c>
      <c r="H17" s="53"/>
      <c r="I17" s="53"/>
    </row>
    <row r="18" spans="1:23">
      <c r="A18" s="340">
        <v>0</v>
      </c>
      <c r="B18" s="341">
        <f>I9</f>
        <v>12044.732071152182</v>
      </c>
      <c r="C18" s="341">
        <v>0</v>
      </c>
      <c r="D18" s="341">
        <f>B18+C18</f>
        <v>12044.732071152182</v>
      </c>
      <c r="E18" s="341"/>
      <c r="F18" s="341">
        <v>0</v>
      </c>
      <c r="G18" s="342">
        <f>F18-D18</f>
        <v>-12044.732071152182</v>
      </c>
      <c r="H18" s="53"/>
      <c r="I18" s="53"/>
    </row>
    <row r="19" spans="1:23">
      <c r="A19" s="340">
        <f t="shared" ref="A19:A26" si="4">$A$28/10+A18</f>
        <v>55.319591546398172</v>
      </c>
      <c r="B19" s="341">
        <f>B18</f>
        <v>12044.732071152182</v>
      </c>
      <c r="C19" s="343">
        <f t="shared" ref="C19:C26" si="5">A19*$H$9</f>
        <v>1232.3548005036209</v>
      </c>
      <c r="D19" s="343">
        <f t="shared" ref="D19:D32" si="6">B19+C19</f>
        <v>13277.086871655803</v>
      </c>
      <c r="E19" s="343">
        <f>D19/A19</f>
        <v>240.00695776142743</v>
      </c>
      <c r="F19" s="343">
        <f t="shared" ref="F19:F26" si="7">A19*$G$9</f>
        <v>2436.8280076188394</v>
      </c>
      <c r="G19" s="342">
        <f t="shared" ref="G19:G27" si="8">F19-D19</f>
        <v>-10840.258864036965</v>
      </c>
      <c r="H19" s="53"/>
      <c r="I19" s="53"/>
    </row>
    <row r="20" spans="1:23">
      <c r="A20" s="340">
        <f t="shared" si="4"/>
        <v>110.63918309279634</v>
      </c>
      <c r="B20" s="341">
        <f t="shared" ref="B20:B32" si="9">B19</f>
        <v>12044.732071152182</v>
      </c>
      <c r="C20" s="343">
        <f t="shared" si="5"/>
        <v>2464.7096010072419</v>
      </c>
      <c r="D20" s="343">
        <f t="shared" si="6"/>
        <v>14509.441672159424</v>
      </c>
      <c r="E20" s="343">
        <f t="shared" ref="E20:E27" si="10">D20/A20</f>
        <v>131.14198122730107</v>
      </c>
      <c r="F20" s="343">
        <f t="shared" si="7"/>
        <v>4873.6560152376787</v>
      </c>
      <c r="G20" s="342">
        <f t="shared" si="8"/>
        <v>-9635.7856569217456</v>
      </c>
      <c r="H20" s="53"/>
      <c r="I20" s="53"/>
    </row>
    <row r="21" spans="1:23">
      <c r="A21" s="340">
        <f t="shared" si="4"/>
        <v>165.95877463919453</v>
      </c>
      <c r="B21" s="341">
        <f t="shared" si="9"/>
        <v>12044.732071152182</v>
      </c>
      <c r="C21" s="343">
        <f t="shared" si="5"/>
        <v>3697.0644015108628</v>
      </c>
      <c r="D21" s="343">
        <f t="shared" si="6"/>
        <v>15741.796472663045</v>
      </c>
      <c r="E21" s="343">
        <f t="shared" si="10"/>
        <v>94.853655715925612</v>
      </c>
      <c r="F21" s="343">
        <f t="shared" si="7"/>
        <v>7310.484022856519</v>
      </c>
      <c r="G21" s="342">
        <f t="shared" si="8"/>
        <v>-8431.3124498065263</v>
      </c>
      <c r="H21" s="53"/>
      <c r="I21" s="53"/>
    </row>
    <row r="22" spans="1:23" ht="15">
      <c r="A22" s="340">
        <f t="shared" si="4"/>
        <v>221.27836618559269</v>
      </c>
      <c r="B22" s="341">
        <f t="shared" si="9"/>
        <v>12044.732071152182</v>
      </c>
      <c r="C22" s="343">
        <f t="shared" si="5"/>
        <v>4929.4192020144837</v>
      </c>
      <c r="D22" s="343">
        <f t="shared" si="6"/>
        <v>16974.151273166666</v>
      </c>
      <c r="E22" s="343">
        <f t="shared" si="10"/>
        <v>76.709492960237895</v>
      </c>
      <c r="F22" s="343">
        <f t="shared" si="7"/>
        <v>9747.3120304753575</v>
      </c>
      <c r="G22" s="342">
        <f t="shared" si="8"/>
        <v>-7226.8392426913088</v>
      </c>
      <c r="H22" s="53"/>
      <c r="I22" s="426"/>
      <c r="J22" s="426" t="s">
        <v>419</v>
      </c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</row>
    <row r="23" spans="1:23" ht="15">
      <c r="A23" s="340">
        <f t="shared" si="4"/>
        <v>276.59795773199085</v>
      </c>
      <c r="B23" s="341">
        <f t="shared" si="9"/>
        <v>12044.732071152182</v>
      </c>
      <c r="C23" s="343">
        <f t="shared" si="5"/>
        <v>6161.7740025181038</v>
      </c>
      <c r="D23" s="343">
        <f t="shared" si="6"/>
        <v>18206.506073670287</v>
      </c>
      <c r="E23" s="343">
        <f t="shared" si="10"/>
        <v>65.822995306825263</v>
      </c>
      <c r="F23" s="343">
        <f t="shared" si="7"/>
        <v>12184.140038094196</v>
      </c>
      <c r="G23" s="342">
        <f t="shared" si="8"/>
        <v>-6022.3660355760912</v>
      </c>
      <c r="H23" s="53"/>
      <c r="I23" s="242"/>
      <c r="J23" s="242" t="s">
        <v>420</v>
      </c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</row>
    <row r="24" spans="1:23" ht="15">
      <c r="A24" s="340">
        <f t="shared" si="4"/>
        <v>331.917549278389</v>
      </c>
      <c r="B24" s="341">
        <f t="shared" si="9"/>
        <v>12044.732071152182</v>
      </c>
      <c r="C24" s="343">
        <f t="shared" si="5"/>
        <v>7394.1288030217247</v>
      </c>
      <c r="D24" s="343">
        <f t="shared" si="6"/>
        <v>19438.860874173908</v>
      </c>
      <c r="E24" s="343">
        <f t="shared" si="10"/>
        <v>58.565330204550179</v>
      </c>
      <c r="F24" s="343">
        <f t="shared" si="7"/>
        <v>14620.968045713034</v>
      </c>
      <c r="G24" s="342">
        <f t="shared" si="8"/>
        <v>-4817.8928284608737</v>
      </c>
      <c r="H24" s="53"/>
      <c r="I24" s="242"/>
      <c r="J24" s="242" t="s">
        <v>421</v>
      </c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</row>
    <row r="25" spans="1:23" ht="15">
      <c r="A25" s="340">
        <f t="shared" si="4"/>
        <v>387.23714082478716</v>
      </c>
      <c r="B25" s="341">
        <f t="shared" si="9"/>
        <v>12044.732071152182</v>
      </c>
      <c r="C25" s="343">
        <f t="shared" si="5"/>
        <v>8626.4836035253447</v>
      </c>
      <c r="D25" s="343">
        <f t="shared" si="6"/>
        <v>20671.215674677529</v>
      </c>
      <c r="E25" s="343">
        <f t="shared" si="10"/>
        <v>53.381283702925117</v>
      </c>
      <c r="F25" s="343">
        <f t="shared" si="7"/>
        <v>17057.796053331873</v>
      </c>
      <c r="G25" s="342">
        <f t="shared" si="8"/>
        <v>-3613.4196213456562</v>
      </c>
      <c r="H25" s="53"/>
      <c r="I25" s="24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</row>
    <row r="26" spans="1:23">
      <c r="A26" s="340">
        <f t="shared" si="4"/>
        <v>442.55673237118532</v>
      </c>
      <c r="B26" s="341">
        <f t="shared" si="9"/>
        <v>12044.732071152182</v>
      </c>
      <c r="C26" s="343">
        <f t="shared" si="5"/>
        <v>9858.8384040289657</v>
      </c>
      <c r="D26" s="343">
        <f t="shared" si="6"/>
        <v>21903.57047518115</v>
      </c>
      <c r="E26" s="343">
        <f t="shared" si="10"/>
        <v>49.493248826706321</v>
      </c>
      <c r="F26" s="343">
        <f t="shared" si="7"/>
        <v>19494.624060950711</v>
      </c>
      <c r="G26" s="344">
        <f t="shared" si="8"/>
        <v>-2408.9464142304387</v>
      </c>
      <c r="H26" s="53"/>
      <c r="I26" s="53"/>
    </row>
    <row r="27" spans="1:23" ht="13.5" thickBot="1">
      <c r="A27" s="345">
        <f>$A$28/10+A26</f>
        <v>497.87632391758348</v>
      </c>
      <c r="B27" s="346">
        <f t="shared" si="9"/>
        <v>12044.732071152182</v>
      </c>
      <c r="C27" s="347">
        <f>A27*$H$9</f>
        <v>11091.193204532587</v>
      </c>
      <c r="D27" s="347">
        <f t="shared" si="6"/>
        <v>23135.925275684771</v>
      </c>
      <c r="E27" s="347">
        <f t="shared" si="10"/>
        <v>46.469221700758368</v>
      </c>
      <c r="F27" s="347">
        <f>A27*$G$9</f>
        <v>21931.45206856955</v>
      </c>
      <c r="G27" s="344">
        <f t="shared" si="8"/>
        <v>-1204.4732071152212</v>
      </c>
      <c r="H27" s="53"/>
      <c r="I27" s="53"/>
    </row>
    <row r="28" spans="1:23" ht="13.5" thickBot="1">
      <c r="A28" s="348">
        <f>B14</f>
        <v>553.19591546398169</v>
      </c>
      <c r="B28" s="349">
        <f>B27</f>
        <v>12044.732071152182</v>
      </c>
      <c r="C28" s="349">
        <f>A28*$H$9</f>
        <v>12323.548005036208</v>
      </c>
      <c r="D28" s="349">
        <f>B28+C28</f>
        <v>24368.280076188392</v>
      </c>
      <c r="E28" s="349">
        <f>D28/A28</f>
        <v>44.05</v>
      </c>
      <c r="F28" s="349">
        <f>A28*$G$9</f>
        <v>24368.280076188392</v>
      </c>
      <c r="G28" s="350">
        <f>F28-D28</f>
        <v>0</v>
      </c>
      <c r="H28" s="53"/>
      <c r="I28" s="53"/>
    </row>
    <row r="29" spans="1:23">
      <c r="A29" s="351">
        <f>$A$28/10+A28</f>
        <v>608.51550701037991</v>
      </c>
      <c r="B29" s="352">
        <f t="shared" si="9"/>
        <v>12044.732071152182</v>
      </c>
      <c r="C29" s="353">
        <f t="shared" ref="C29:C32" si="11">A29*$H$9</f>
        <v>13555.90280553983</v>
      </c>
      <c r="D29" s="354">
        <f t="shared" si="6"/>
        <v>25600.634876692013</v>
      </c>
      <c r="E29" s="354">
        <f>D29/A29</f>
        <v>42.070636790288603</v>
      </c>
      <c r="F29" s="353">
        <f t="shared" ref="F29:F32" si="12">A29*$G$9</f>
        <v>26805.108083807234</v>
      </c>
      <c r="G29" s="355">
        <f>F29-D29</f>
        <v>1204.4732071152212</v>
      </c>
      <c r="H29" s="53"/>
      <c r="I29" s="53"/>
    </row>
    <row r="30" spans="1:23">
      <c r="A30" s="351">
        <f t="shared" ref="A30:A32" si="13">$A$28/10+A29</f>
        <v>663.83509855677812</v>
      </c>
      <c r="B30" s="341">
        <f t="shared" si="9"/>
        <v>12044.732071152182</v>
      </c>
      <c r="C30" s="343">
        <f t="shared" si="11"/>
        <v>14788.257606043451</v>
      </c>
      <c r="D30" s="343">
        <f t="shared" si="6"/>
        <v>26832.989677195634</v>
      </c>
      <c r="E30" s="343">
        <f>D30/A30</f>
        <v>40.421167448862448</v>
      </c>
      <c r="F30" s="343">
        <f t="shared" si="12"/>
        <v>29241.936091426076</v>
      </c>
      <c r="G30" s="356">
        <f>F30-D30</f>
        <v>2408.9464142304423</v>
      </c>
      <c r="H30" s="53"/>
      <c r="I30" s="53"/>
    </row>
    <row r="31" spans="1:23">
      <c r="A31" s="351">
        <f t="shared" si="13"/>
        <v>719.15469010317634</v>
      </c>
      <c r="B31" s="341">
        <f t="shared" si="9"/>
        <v>12044.732071152182</v>
      </c>
      <c r="C31" s="343">
        <f t="shared" si="11"/>
        <v>16020.612406547074</v>
      </c>
      <c r="D31" s="343">
        <f t="shared" si="6"/>
        <v>28065.344477699255</v>
      </c>
      <c r="E31" s="343">
        <f>D31/A31</f>
        <v>39.025462621501852</v>
      </c>
      <c r="F31" s="343">
        <f t="shared" si="12"/>
        <v>31678.764099044914</v>
      </c>
      <c r="G31" s="356">
        <f>F31-D31</f>
        <v>3613.4196213456598</v>
      </c>
      <c r="H31" s="53"/>
      <c r="I31" s="53"/>
    </row>
    <row r="32" spans="1:23">
      <c r="A32" s="351">
        <f t="shared" si="13"/>
        <v>774.47428164957455</v>
      </c>
      <c r="B32" s="341">
        <f t="shared" si="9"/>
        <v>12044.732071152182</v>
      </c>
      <c r="C32" s="343">
        <f t="shared" si="11"/>
        <v>17252.967207050697</v>
      </c>
      <c r="D32" s="343">
        <f t="shared" si="6"/>
        <v>29297.699278202879</v>
      </c>
      <c r="E32" s="343">
        <f>D32/A32</f>
        <v>37.829144198049917</v>
      </c>
      <c r="F32" s="343">
        <f t="shared" si="12"/>
        <v>34115.59210666376</v>
      </c>
      <c r="G32" s="356">
        <f>F32-D32</f>
        <v>4817.892828460881</v>
      </c>
      <c r="H32" s="53"/>
      <c r="I32" s="53"/>
    </row>
    <row r="33" spans="1:9">
      <c r="A33" s="53"/>
      <c r="B33" s="53"/>
      <c r="C33" s="53"/>
      <c r="D33" s="53"/>
      <c r="E33" s="53"/>
      <c r="F33" s="53"/>
      <c r="G33" s="53"/>
      <c r="H33" s="53"/>
      <c r="I33" s="53"/>
    </row>
    <row r="34" spans="1:9">
      <c r="A34" s="53"/>
      <c r="B34" s="53"/>
      <c r="C34" s="53"/>
      <c r="D34" s="53"/>
      <c r="E34" s="53"/>
      <c r="F34" s="53"/>
      <c r="G34" s="53"/>
      <c r="H34" s="53"/>
      <c r="I34" s="53"/>
    </row>
    <row r="35" spans="1:9">
      <c r="A35" s="53"/>
      <c r="B35" s="53"/>
      <c r="C35" s="53"/>
      <c r="D35" s="53"/>
      <c r="E35" s="53"/>
      <c r="F35" s="53"/>
      <c r="G35" s="53"/>
      <c r="H35" s="53"/>
      <c r="I35" s="53"/>
    </row>
    <row r="36" spans="1:9">
      <c r="A36" s="53"/>
      <c r="B36" s="53"/>
      <c r="C36" s="53"/>
      <c r="D36" s="53"/>
      <c r="E36" s="53"/>
      <c r="F36" s="53"/>
      <c r="G36" s="53"/>
      <c r="H36" s="53"/>
      <c r="I36" s="53"/>
    </row>
    <row r="37" spans="1:9">
      <c r="A37" s="53"/>
      <c r="B37" s="53"/>
      <c r="C37" s="53"/>
      <c r="D37" s="53"/>
      <c r="E37" s="53"/>
      <c r="F37" s="53"/>
      <c r="G37" s="53"/>
      <c r="H37" s="53"/>
      <c r="I37" s="53"/>
    </row>
    <row r="38" spans="1:9">
      <c r="A38" s="53"/>
      <c r="B38" s="53"/>
      <c r="C38" s="53"/>
      <c r="D38" s="53"/>
      <c r="E38" s="53"/>
      <c r="F38" s="53"/>
      <c r="G38" s="53"/>
      <c r="H38" s="53"/>
      <c r="I38" s="53"/>
    </row>
    <row r="39" spans="1:9">
      <c r="A39" s="53"/>
      <c r="B39" s="53"/>
      <c r="C39" s="53"/>
      <c r="D39" s="53"/>
      <c r="E39" s="53"/>
      <c r="F39" s="53"/>
      <c r="G39" s="53"/>
      <c r="H39" s="53"/>
      <c r="I39" s="53"/>
    </row>
    <row r="40" spans="1:9">
      <c r="A40" s="53"/>
      <c r="B40" s="53"/>
      <c r="C40" s="53"/>
      <c r="D40" s="53"/>
      <c r="E40" s="53"/>
      <c r="F40" s="53"/>
      <c r="G40" s="53"/>
      <c r="H40" s="53"/>
      <c r="I40" s="53"/>
    </row>
    <row r="41" spans="1:9">
      <c r="A41" s="53"/>
      <c r="B41" s="53"/>
      <c r="C41" s="53"/>
      <c r="D41" s="53"/>
      <c r="E41" s="53"/>
      <c r="F41" s="53"/>
      <c r="G41" s="53"/>
      <c r="H41" s="53"/>
      <c r="I41" s="53"/>
    </row>
    <row r="42" spans="1:9">
      <c r="A42" s="53"/>
      <c r="B42" s="53"/>
      <c r="C42" s="53"/>
      <c r="D42" s="53"/>
      <c r="E42" s="53"/>
      <c r="F42" s="53"/>
      <c r="G42" s="53"/>
      <c r="H42" s="53"/>
      <c r="I42" s="53"/>
    </row>
    <row r="43" spans="1:9">
      <c r="A43" s="53"/>
      <c r="B43" s="53"/>
      <c r="C43" s="53"/>
      <c r="D43" s="53"/>
      <c r="E43" s="53"/>
      <c r="F43" s="53"/>
      <c r="G43" s="53"/>
      <c r="H43" s="53"/>
      <c r="I43" s="53"/>
    </row>
    <row r="44" spans="1:9">
      <c r="A44" s="53"/>
      <c r="B44" s="53"/>
      <c r="C44" s="53"/>
      <c r="D44" s="53"/>
      <c r="E44" s="53"/>
      <c r="F44" s="53"/>
      <c r="G44" s="53"/>
      <c r="H44" s="53"/>
      <c r="I44" s="53"/>
    </row>
    <row r="45" spans="1:9">
      <c r="A45" s="53"/>
      <c r="B45" s="53"/>
      <c r="C45" s="53"/>
      <c r="D45" s="53"/>
      <c r="E45" s="53"/>
      <c r="F45" s="53"/>
      <c r="G45" s="53"/>
      <c r="H45" s="53"/>
      <c r="I45" s="53"/>
    </row>
    <row r="46" spans="1:9">
      <c r="A46" s="53"/>
      <c r="B46" s="53"/>
      <c r="C46" s="53"/>
      <c r="D46" s="53"/>
      <c r="E46" s="53"/>
      <c r="F46" s="53"/>
      <c r="G46" s="53"/>
      <c r="H46" s="53"/>
      <c r="I46" s="53"/>
    </row>
    <row r="47" spans="1:9">
      <c r="A47" s="53"/>
      <c r="B47" s="53"/>
      <c r="C47" s="53"/>
      <c r="D47" s="53"/>
      <c r="E47" s="53"/>
      <c r="F47" s="53"/>
      <c r="G47" s="53"/>
      <c r="H47" s="53"/>
      <c r="I47" s="53"/>
    </row>
    <row r="48" spans="1:9">
      <c r="A48" s="53"/>
      <c r="B48" s="53"/>
      <c r="C48" s="53"/>
      <c r="D48" s="53"/>
      <c r="E48" s="53"/>
      <c r="F48" s="53"/>
      <c r="G48" s="53"/>
      <c r="H48" s="53"/>
      <c r="I48" s="53"/>
    </row>
    <row r="49" spans="1:9">
      <c r="A49" s="53"/>
      <c r="B49" s="53"/>
      <c r="C49" s="53"/>
      <c r="D49" s="53"/>
      <c r="E49" s="53"/>
      <c r="F49" s="53"/>
      <c r="G49" s="53"/>
      <c r="H49" s="53"/>
      <c r="I49" s="53"/>
    </row>
    <row r="50" spans="1:9">
      <c r="A50" s="53"/>
      <c r="B50" s="53"/>
      <c r="C50" s="53"/>
      <c r="D50" s="53"/>
      <c r="E50" s="53"/>
      <c r="F50" s="53"/>
      <c r="G50" s="53"/>
      <c r="H50" s="53"/>
      <c r="I50" s="53"/>
    </row>
    <row r="51" spans="1:9">
      <c r="A51" s="53"/>
      <c r="B51" s="53"/>
      <c r="C51" s="53"/>
      <c r="D51" s="53"/>
      <c r="E51" s="53"/>
      <c r="F51" s="53"/>
      <c r="G51" s="53"/>
      <c r="H51" s="53"/>
      <c r="I51" s="53"/>
    </row>
    <row r="52" spans="1:9">
      <c r="A52" s="53"/>
      <c r="B52" s="53"/>
      <c r="C52" s="53"/>
      <c r="D52" s="53"/>
      <c r="E52" s="53"/>
      <c r="F52" s="53"/>
      <c r="G52" s="53"/>
      <c r="H52" s="53"/>
      <c r="I52" s="53"/>
    </row>
    <row r="53" spans="1:9">
      <c r="A53" s="53"/>
      <c r="B53" s="53"/>
      <c r="C53" s="53"/>
      <c r="D53" s="53"/>
      <c r="E53" s="53"/>
      <c r="F53" s="53"/>
      <c r="G53" s="53"/>
      <c r="H53" s="53"/>
      <c r="I53" s="53"/>
    </row>
    <row r="54" spans="1:9">
      <c r="A54" s="53"/>
      <c r="B54" s="53"/>
      <c r="C54" s="53"/>
      <c r="D54" s="53"/>
      <c r="E54" s="53"/>
      <c r="F54" s="53"/>
      <c r="G54" s="53"/>
      <c r="H54" s="53"/>
      <c r="I54" s="53"/>
    </row>
    <row r="55" spans="1:9">
      <c r="A55" s="53"/>
      <c r="B55" s="53"/>
      <c r="C55" s="53"/>
      <c r="D55" s="53"/>
      <c r="E55" s="53"/>
      <c r="F55" s="53"/>
      <c r="G55" s="53"/>
      <c r="H55" s="53"/>
      <c r="I55" s="53"/>
    </row>
    <row r="56" spans="1:9">
      <c r="A56" s="53"/>
      <c r="B56" s="53"/>
      <c r="C56" s="53"/>
      <c r="D56" s="53"/>
      <c r="E56" s="53"/>
      <c r="F56" s="53"/>
      <c r="G56" s="53"/>
      <c r="H56" s="53"/>
      <c r="I56" s="53"/>
    </row>
    <row r="57" spans="1:9">
      <c r="A57" s="53"/>
      <c r="B57" s="53"/>
      <c r="C57" s="53"/>
      <c r="D57" s="53"/>
      <c r="E57" s="53"/>
      <c r="F57" s="53"/>
      <c r="G57" s="53"/>
      <c r="H57" s="53"/>
      <c r="I57" s="53"/>
    </row>
    <row r="58" spans="1:9">
      <c r="A58" s="53"/>
      <c r="B58" s="53"/>
      <c r="C58" s="53"/>
      <c r="D58" s="53"/>
      <c r="E58" s="53"/>
      <c r="F58" s="53"/>
      <c r="G58" s="53"/>
      <c r="H58" s="53"/>
      <c r="I58" s="53"/>
    </row>
    <row r="59" spans="1:9">
      <c r="A59" s="53"/>
      <c r="B59" s="53"/>
      <c r="C59" s="53"/>
      <c r="D59" s="53"/>
      <c r="E59" s="53"/>
      <c r="F59" s="53"/>
      <c r="G59" s="53"/>
      <c r="H59" s="53"/>
      <c r="I59" s="53"/>
    </row>
    <row r="60" spans="1:9">
      <c r="A60" s="53"/>
      <c r="B60" s="53"/>
      <c r="C60" s="53"/>
      <c r="D60" s="53"/>
      <c r="E60" s="53"/>
      <c r="F60" s="53"/>
      <c r="G60" s="53"/>
      <c r="H60" s="53"/>
      <c r="I60" s="53"/>
    </row>
    <row r="61" spans="1:9">
      <c r="A61" s="53"/>
      <c r="B61" s="53"/>
      <c r="C61" s="53"/>
      <c r="D61" s="53"/>
      <c r="E61" s="53"/>
      <c r="F61" s="53"/>
      <c r="G61" s="53"/>
      <c r="H61" s="53"/>
      <c r="I61" s="53"/>
    </row>
    <row r="62" spans="1:9">
      <c r="A62" s="53"/>
      <c r="B62" s="53"/>
      <c r="C62" s="53"/>
      <c r="D62" s="53"/>
      <c r="E62" s="53"/>
      <c r="F62" s="53"/>
      <c r="G62" s="53"/>
      <c r="H62" s="53"/>
      <c r="I62" s="53"/>
    </row>
    <row r="63" spans="1:9">
      <c r="A63" s="53"/>
      <c r="B63" s="53"/>
      <c r="C63" s="53"/>
      <c r="D63" s="53"/>
      <c r="E63" s="53"/>
      <c r="F63" s="53"/>
      <c r="G63" s="53"/>
      <c r="H63" s="53"/>
      <c r="I63" s="53"/>
    </row>
    <row r="64" spans="1:9">
      <c r="A64" s="53"/>
      <c r="B64" s="53"/>
      <c r="C64" s="53"/>
      <c r="D64" s="53"/>
      <c r="E64" s="53"/>
      <c r="F64" s="53"/>
      <c r="G64" s="53"/>
      <c r="H64" s="53"/>
      <c r="I64" s="53"/>
    </row>
    <row r="65" spans="1:9">
      <c r="A65" s="53"/>
      <c r="B65" s="53"/>
      <c r="C65" s="53"/>
      <c r="D65" s="53"/>
      <c r="E65" s="53"/>
      <c r="F65" s="53"/>
      <c r="G65" s="53"/>
      <c r="H65" s="53"/>
      <c r="I65" s="53"/>
    </row>
    <row r="66" spans="1:9">
      <c r="A66" s="53"/>
      <c r="B66" s="53"/>
      <c r="C66" s="53"/>
      <c r="D66" s="53"/>
      <c r="E66" s="53"/>
      <c r="F66" s="53"/>
      <c r="G66" s="53"/>
      <c r="H66" s="53"/>
      <c r="I66" s="53"/>
    </row>
    <row r="67" spans="1:9">
      <c r="A67" s="53"/>
      <c r="B67" s="53"/>
      <c r="C67" s="53"/>
      <c r="D67" s="53"/>
      <c r="E67" s="53"/>
      <c r="F67" s="53"/>
      <c r="G67" s="53"/>
      <c r="H67" s="53"/>
      <c r="I67" s="53"/>
    </row>
    <row r="68" spans="1:9">
      <c r="A68" s="53"/>
      <c r="B68" s="53"/>
      <c r="C68" s="53"/>
      <c r="D68" s="53"/>
      <c r="E68" s="53"/>
      <c r="F68" s="53"/>
      <c r="G68" s="53"/>
      <c r="H68" s="53"/>
      <c r="I68" s="53"/>
    </row>
    <row r="69" spans="1:9">
      <c r="A69" s="53"/>
      <c r="B69" s="53"/>
      <c r="C69" s="53"/>
      <c r="D69" s="53"/>
      <c r="E69" s="53"/>
      <c r="F69" s="53"/>
      <c r="G69" s="53"/>
      <c r="H69" s="53"/>
      <c r="I69" s="53"/>
    </row>
    <row r="70" spans="1:9">
      <c r="A70" s="53"/>
      <c r="B70" s="53"/>
      <c r="C70" s="53"/>
      <c r="D70" s="53"/>
      <c r="E70" s="53"/>
      <c r="F70" s="53"/>
      <c r="G70" s="53"/>
      <c r="H70" s="53"/>
      <c r="I70" s="53"/>
    </row>
    <row r="71" spans="1:9">
      <c r="A71" s="53"/>
      <c r="B71" s="53"/>
      <c r="C71" s="53"/>
      <c r="D71" s="53"/>
      <c r="E71" s="53"/>
      <c r="F71" s="53"/>
      <c r="G71" s="53"/>
      <c r="H71" s="53"/>
      <c r="I71" s="53"/>
    </row>
    <row r="72" spans="1:9">
      <c r="A72" s="53"/>
      <c r="B72" s="53"/>
      <c r="C72" s="53"/>
      <c r="D72" s="53"/>
      <c r="E72" s="53"/>
      <c r="F72" s="53"/>
      <c r="G72" s="53"/>
      <c r="H72" s="53"/>
      <c r="I72" s="53"/>
    </row>
    <row r="73" spans="1:9">
      <c r="A73" s="53"/>
      <c r="B73" s="53"/>
      <c r="C73" s="53"/>
      <c r="D73" s="53"/>
      <c r="E73" s="53"/>
      <c r="F73" s="53"/>
      <c r="G73" s="53"/>
      <c r="H73" s="53"/>
      <c r="I73" s="53"/>
    </row>
    <row r="74" spans="1:9">
      <c r="A74" s="53"/>
      <c r="B74" s="53"/>
      <c r="C74" s="53"/>
      <c r="D74" s="53"/>
      <c r="E74" s="53"/>
      <c r="F74" s="53"/>
      <c r="G74" s="53"/>
      <c r="H74" s="53"/>
      <c r="I74" s="53"/>
    </row>
    <row r="75" spans="1:9">
      <c r="A75" s="53"/>
      <c r="B75" s="53"/>
      <c r="C75" s="53"/>
      <c r="D75" s="53"/>
      <c r="E75" s="53"/>
      <c r="F75" s="53"/>
      <c r="G75" s="53"/>
      <c r="H75" s="53"/>
      <c r="I75" s="53"/>
    </row>
    <row r="76" spans="1:9">
      <c r="A76" s="53"/>
      <c r="B76" s="53"/>
      <c r="C76" s="53"/>
      <c r="D76" s="53"/>
      <c r="E76" s="53"/>
      <c r="F76" s="53"/>
      <c r="G76" s="53"/>
      <c r="H76" s="53"/>
      <c r="I76" s="53"/>
    </row>
    <row r="77" spans="1:9">
      <c r="A77" s="53"/>
      <c r="B77" s="53"/>
      <c r="C77" s="53"/>
      <c r="D77" s="53"/>
      <c r="E77" s="53"/>
      <c r="F77" s="53"/>
      <c r="G77" s="53"/>
      <c r="H77" s="53"/>
      <c r="I77" s="53"/>
    </row>
    <row r="78" spans="1:9">
      <c r="A78" s="53"/>
      <c r="B78" s="53"/>
      <c r="C78" s="53"/>
      <c r="D78" s="53"/>
      <c r="E78" s="53"/>
      <c r="F78" s="53"/>
      <c r="G78" s="53"/>
      <c r="H78" s="53"/>
      <c r="I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9">
      <c r="A169" s="53"/>
      <c r="B169" s="53"/>
      <c r="C169" s="53"/>
      <c r="D169" s="53"/>
      <c r="E169" s="53"/>
      <c r="F169" s="53"/>
      <c r="G169" s="53"/>
      <c r="H169" s="53"/>
      <c r="I169" s="53"/>
    </row>
    <row r="170" spans="1:9">
      <c r="A170" s="53"/>
      <c r="B170" s="53"/>
      <c r="C170" s="53"/>
      <c r="D170" s="53"/>
      <c r="E170" s="53"/>
      <c r="F170" s="53"/>
      <c r="G170" s="53"/>
      <c r="H170" s="53"/>
      <c r="I170" s="53"/>
    </row>
    <row r="171" spans="1:9">
      <c r="A171" s="53"/>
      <c r="B171" s="53"/>
      <c r="C171" s="53"/>
      <c r="D171" s="53"/>
      <c r="E171" s="53"/>
      <c r="F171" s="53"/>
      <c r="G171" s="53"/>
      <c r="H171" s="53"/>
      <c r="I171" s="53"/>
    </row>
    <row r="172" spans="1:9">
      <c r="A172" s="53"/>
      <c r="B172" s="53"/>
      <c r="C172" s="53"/>
      <c r="D172" s="53"/>
      <c r="E172" s="53"/>
      <c r="F172" s="53"/>
      <c r="G172" s="53"/>
      <c r="H172" s="53"/>
      <c r="I172" s="53"/>
    </row>
    <row r="173" spans="1:9">
      <c r="A173" s="53"/>
      <c r="B173" s="53"/>
      <c r="C173" s="53"/>
      <c r="D173" s="53"/>
      <c r="E173" s="53"/>
      <c r="F173" s="53"/>
      <c r="G173" s="53"/>
      <c r="H173" s="53"/>
      <c r="I173" s="53"/>
    </row>
    <row r="174" spans="1:9">
      <c r="A174" s="53"/>
      <c r="B174" s="53"/>
      <c r="C174" s="53"/>
      <c r="D174" s="53"/>
      <c r="E174" s="53"/>
      <c r="F174" s="53"/>
      <c r="G174" s="53"/>
      <c r="H174" s="53"/>
      <c r="I174" s="53"/>
    </row>
    <row r="175" spans="1:9">
      <c r="A175" s="53"/>
      <c r="B175" s="53"/>
      <c r="C175" s="53"/>
      <c r="D175" s="53"/>
      <c r="E175" s="53"/>
      <c r="F175" s="53"/>
      <c r="G175" s="53"/>
      <c r="H175" s="53"/>
      <c r="I175" s="53"/>
    </row>
    <row r="176" spans="1:9">
      <c r="A176" s="53"/>
      <c r="B176" s="53"/>
      <c r="C176" s="53"/>
      <c r="D176" s="53"/>
      <c r="E176" s="53"/>
      <c r="F176" s="53"/>
      <c r="G176" s="53"/>
      <c r="H176" s="53"/>
      <c r="I176" s="53"/>
    </row>
    <row r="177" spans="1:9">
      <c r="A177" s="53"/>
      <c r="B177" s="53"/>
      <c r="C177" s="53"/>
      <c r="D177" s="53"/>
      <c r="E177" s="53"/>
      <c r="F177" s="53"/>
      <c r="G177" s="53"/>
      <c r="H177" s="53"/>
      <c r="I177" s="53"/>
    </row>
    <row r="178" spans="1:9">
      <c r="A178" s="53"/>
      <c r="B178" s="53"/>
      <c r="C178" s="53"/>
      <c r="D178" s="53"/>
      <c r="E178" s="53"/>
      <c r="F178" s="53"/>
      <c r="G178" s="53"/>
      <c r="H178" s="53"/>
      <c r="I178" s="53"/>
    </row>
    <row r="179" spans="1:9">
      <c r="A179" s="53"/>
      <c r="B179" s="53"/>
      <c r="C179" s="53"/>
      <c r="D179" s="53"/>
      <c r="E179" s="53"/>
      <c r="F179" s="53"/>
      <c r="G179" s="53"/>
      <c r="H179" s="53"/>
      <c r="I179" s="53"/>
    </row>
    <row r="180" spans="1:9">
      <c r="A180" s="53"/>
      <c r="B180" s="53"/>
      <c r="C180" s="53"/>
      <c r="D180" s="53"/>
      <c r="E180" s="53"/>
      <c r="F180" s="53"/>
      <c r="G180" s="53"/>
      <c r="H180" s="53"/>
      <c r="I180" s="53"/>
    </row>
    <row r="181" spans="1:9">
      <c r="A181" s="53"/>
      <c r="B181" s="53"/>
      <c r="C181" s="53"/>
      <c r="D181" s="53"/>
      <c r="E181" s="53"/>
      <c r="F181" s="53"/>
      <c r="G181" s="53"/>
      <c r="H181" s="53"/>
      <c r="I181" s="53"/>
    </row>
    <row r="182" spans="1:9">
      <c r="A182" s="53"/>
      <c r="B182" s="53"/>
      <c r="C182" s="53"/>
      <c r="D182" s="53"/>
      <c r="E182" s="53"/>
      <c r="F182" s="53"/>
      <c r="G182" s="53"/>
      <c r="H182" s="53"/>
      <c r="I182" s="53"/>
    </row>
    <row r="183" spans="1:9">
      <c r="A183" s="53"/>
      <c r="B183" s="53"/>
      <c r="C183" s="53"/>
      <c r="D183" s="53"/>
      <c r="E183" s="53"/>
      <c r="F183" s="53"/>
      <c r="G183" s="53"/>
      <c r="H183" s="53"/>
      <c r="I183" s="53"/>
    </row>
    <row r="184" spans="1:9">
      <c r="A184" s="53"/>
      <c r="B184" s="53"/>
      <c r="C184" s="53"/>
      <c r="D184" s="53"/>
      <c r="E184" s="53"/>
      <c r="F184" s="53"/>
      <c r="G184" s="53"/>
      <c r="H184" s="53"/>
      <c r="I184" s="53"/>
    </row>
    <row r="185" spans="1:9">
      <c r="A185" s="53"/>
      <c r="B185" s="53"/>
      <c r="C185" s="53"/>
      <c r="D185" s="53"/>
      <c r="E185" s="53"/>
      <c r="F185" s="53"/>
      <c r="G185" s="53"/>
      <c r="H185" s="53"/>
      <c r="I185" s="53"/>
    </row>
    <row r="186" spans="1:9">
      <c r="A186" s="53"/>
      <c r="B186" s="53"/>
      <c r="C186" s="53"/>
      <c r="D186" s="53"/>
      <c r="E186" s="53"/>
      <c r="F186" s="53"/>
      <c r="G186" s="53"/>
      <c r="H186" s="53"/>
      <c r="I186" s="53"/>
    </row>
  </sheetData>
  <mergeCells count="2">
    <mergeCell ref="E9:F9"/>
    <mergeCell ref="A9:C9"/>
  </mergeCells>
  <pageMargins left="0.70866141732283472" right="0.70866141732283472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38"/>
  <sheetViews>
    <sheetView showGridLines="0" topLeftCell="A26" zoomScale="112" zoomScaleNormal="112" workbookViewId="0">
      <selection activeCell="B27" sqref="B27"/>
    </sheetView>
  </sheetViews>
  <sheetFormatPr baseColWidth="10" defaultRowHeight="13.5"/>
  <cols>
    <col min="1" max="1" width="7.42578125" style="8" customWidth="1"/>
    <col min="2" max="2" width="43.28515625" style="8" customWidth="1"/>
    <col min="3" max="3" width="13.7109375" style="20" customWidth="1"/>
    <col min="4" max="4" width="15.140625" style="20" customWidth="1"/>
    <col min="5" max="5" width="13" style="20" customWidth="1"/>
    <col min="6" max="6" width="13.42578125" style="20" customWidth="1"/>
    <col min="7" max="7" width="13.85546875" style="20" customWidth="1"/>
    <col min="8" max="8" width="12.42578125" style="20" customWidth="1"/>
    <col min="9" max="9" width="12.28515625" style="20" customWidth="1"/>
    <col min="10" max="10" width="14.42578125" style="20" customWidth="1"/>
    <col min="11" max="11" width="11.42578125" style="21"/>
    <col min="12" max="16384" width="11.42578125" style="8"/>
  </cols>
  <sheetData>
    <row r="1" spans="1:10" ht="15.75">
      <c r="A1" s="521" t="s">
        <v>320</v>
      </c>
      <c r="B1" s="521"/>
      <c r="C1" s="521"/>
      <c r="D1" s="521"/>
      <c r="E1" s="521"/>
      <c r="F1" s="521"/>
      <c r="G1" s="521"/>
      <c r="H1" s="521"/>
      <c r="I1" s="521"/>
      <c r="J1" s="521"/>
    </row>
    <row r="2" spans="1:10" ht="14.25" thickBot="1">
      <c r="A2" s="162"/>
      <c r="B2" s="162"/>
      <c r="C2" s="357"/>
      <c r="D2" s="357"/>
      <c r="E2" s="357"/>
      <c r="F2" s="357"/>
      <c r="G2" s="357"/>
      <c r="H2" s="357"/>
      <c r="I2" s="357"/>
      <c r="J2" s="357"/>
    </row>
    <row r="3" spans="1:10">
      <c r="A3" s="391" t="s">
        <v>301</v>
      </c>
      <c r="B3" s="392"/>
      <c r="C3" s="393"/>
      <c r="D3" s="394"/>
      <c r="E3" s="394"/>
      <c r="F3" s="394"/>
      <c r="G3" s="395"/>
      <c r="H3" s="396"/>
      <c r="I3" s="396"/>
      <c r="J3" s="397"/>
    </row>
    <row r="4" spans="1:10" ht="22.5">
      <c r="A4" s="398" t="s">
        <v>300</v>
      </c>
      <c r="B4" s="399" t="s">
        <v>299</v>
      </c>
      <c r="C4" s="400" t="s">
        <v>224</v>
      </c>
      <c r="D4" s="400" t="s">
        <v>225</v>
      </c>
      <c r="E4" s="400" t="s">
        <v>226</v>
      </c>
      <c r="F4" s="400" t="s">
        <v>227</v>
      </c>
      <c r="G4" s="400" t="s">
        <v>228</v>
      </c>
      <c r="H4" s="400" t="s">
        <v>229</v>
      </c>
      <c r="I4" s="400" t="s">
        <v>230</v>
      </c>
      <c r="J4" s="401" t="s">
        <v>231</v>
      </c>
    </row>
    <row r="5" spans="1:10">
      <c r="A5" s="358" t="s">
        <v>258</v>
      </c>
      <c r="B5" s="359" t="s">
        <v>259</v>
      </c>
      <c r="C5" s="360">
        <f>'BALANCE GENERAL'!D8</f>
        <v>44118.838786543449</v>
      </c>
      <c r="D5" s="360">
        <f>'BALANCE GENERAL'!E8</f>
        <v>56956.750395368384</v>
      </c>
      <c r="E5" s="360">
        <f>'BALANCE GENERAL'!F8</f>
        <v>53405.409941658305</v>
      </c>
      <c r="F5" s="360">
        <f>'BALANCE GENERAL'!G8</f>
        <v>61129.607430245058</v>
      </c>
      <c r="G5" s="360">
        <f>'BALANCE GENERAL'!H8</f>
        <v>86661.501666666678</v>
      </c>
      <c r="H5" s="360">
        <f>'BALANCE GENERAL'!I8</f>
        <v>101076.70166666669</v>
      </c>
      <c r="I5" s="360">
        <f>'BALANCE GENERAL'!J8</f>
        <v>98264.381666666712</v>
      </c>
      <c r="J5" s="361">
        <f>'BALANCE GENERAL'!K8</f>
        <v>108112.9616666667</v>
      </c>
    </row>
    <row r="6" spans="1:10">
      <c r="A6" s="358" t="s">
        <v>260</v>
      </c>
      <c r="B6" s="359" t="s">
        <v>261</v>
      </c>
      <c r="C6" s="360">
        <f>'BALANCE GENERAL'!D20</f>
        <v>12680.529358592461</v>
      </c>
      <c r="D6" s="360">
        <f>'BALANCE GENERAL'!E20</f>
        <v>9130.0405361031317</v>
      </c>
      <c r="E6" s="360">
        <f>'BALANCE GENERAL'!F20</f>
        <v>5575.2683712950693</v>
      </c>
      <c r="F6" s="360">
        <f>'BALANCE GENERAL'!G20</f>
        <v>2203.7400000000002</v>
      </c>
      <c r="G6" s="360">
        <f>'BALANCE GENERAL'!H20</f>
        <v>2203.7400000000002</v>
      </c>
      <c r="H6" s="360">
        <f>'BALANCE GENERAL'!I20</f>
        <v>2203.7400000000002</v>
      </c>
      <c r="I6" s="360">
        <f>'BALANCE GENERAL'!J20</f>
        <v>2203.7400000000002</v>
      </c>
      <c r="J6" s="361">
        <f>'BALANCE GENERAL'!K20</f>
        <v>2203.7400000000002</v>
      </c>
    </row>
    <row r="7" spans="1:10">
      <c r="A7" s="358" t="s">
        <v>202</v>
      </c>
      <c r="B7" s="359" t="s">
        <v>262</v>
      </c>
      <c r="C7" s="360">
        <f>'BALANCE GENERAL'!D7</f>
        <v>8026.7525000000005</v>
      </c>
      <c r="D7" s="360">
        <f>'BALANCE GENERAL'!E7</f>
        <v>8026.7525000000005</v>
      </c>
      <c r="E7" s="360">
        <f>'BALANCE GENERAL'!F7</f>
        <v>8026.7525000000005</v>
      </c>
      <c r="F7" s="360">
        <f>'BALANCE GENERAL'!G7</f>
        <v>8026.7525000000005</v>
      </c>
      <c r="G7" s="360">
        <f>'BALANCE GENERAL'!H7</f>
        <v>8026.7525000000005</v>
      </c>
      <c r="H7" s="360">
        <f>'BALANCE GENERAL'!I7</f>
        <v>8026.7525000000005</v>
      </c>
      <c r="I7" s="360">
        <f>'BALANCE GENERAL'!J7</f>
        <v>8026.7525000000005</v>
      </c>
      <c r="J7" s="361">
        <f>'BALANCE GENERAL'!K7</f>
        <v>8026.7525000000005</v>
      </c>
    </row>
    <row r="8" spans="1:10">
      <c r="A8" s="358" t="s">
        <v>199</v>
      </c>
      <c r="B8" s="359" t="s">
        <v>263</v>
      </c>
      <c r="C8" s="360">
        <f>'BALANCE GENERAL'!D6</f>
        <v>36092.086286543446</v>
      </c>
      <c r="D8" s="360">
        <f>'BALANCE GENERAL'!E6</f>
        <v>48929.997895368382</v>
      </c>
      <c r="E8" s="360">
        <f>'BALANCE GENERAL'!F6</f>
        <v>45378.657441658303</v>
      </c>
      <c r="F8" s="360">
        <f>'BALANCE GENERAL'!G6</f>
        <v>53102.854930245056</v>
      </c>
      <c r="G8" s="360">
        <f>'BALANCE GENERAL'!H6</f>
        <v>78634.749166666676</v>
      </c>
      <c r="H8" s="360">
        <f>'BALANCE GENERAL'!I6</f>
        <v>93049.949166666687</v>
      </c>
      <c r="I8" s="360">
        <f>'BALANCE GENERAL'!J6</f>
        <v>90237.629166666709</v>
      </c>
      <c r="J8" s="361">
        <f>'BALANCE GENERAL'!K6</f>
        <v>100086.2091666667</v>
      </c>
    </row>
    <row r="9" spans="1:10">
      <c r="A9" s="358" t="s">
        <v>264</v>
      </c>
      <c r="B9" s="359" t="s">
        <v>265</v>
      </c>
      <c r="C9" s="360">
        <f>'BALANCE GENERAL'!D26</f>
        <v>49771.794999999991</v>
      </c>
      <c r="D9" s="360">
        <f>'BALANCE GENERAL'!E26</f>
        <v>87597.33749999998</v>
      </c>
      <c r="E9" s="360">
        <f>'BALANCE GENERAL'!F26</f>
        <v>115712.55999999997</v>
      </c>
      <c r="F9" s="360">
        <f>'BALANCE GENERAL'!G26</f>
        <v>144602.78249999997</v>
      </c>
      <c r="G9" s="360">
        <f>'BALANCE GENERAL'!H26</f>
        <v>186503.32499999995</v>
      </c>
      <c r="H9" s="360">
        <f>'BALANCE GENERAL'!I26</f>
        <v>228728.86749999993</v>
      </c>
      <c r="I9" s="360">
        <f>'BALANCE GENERAL'!J26</f>
        <v>258844.08999999994</v>
      </c>
      <c r="J9" s="361">
        <f>'BALANCE GENERAL'!K26</f>
        <v>288809.31249999994</v>
      </c>
    </row>
    <row r="10" spans="1:10">
      <c r="A10" s="358" t="s">
        <v>266</v>
      </c>
      <c r="B10" s="359" t="s">
        <v>267</v>
      </c>
      <c r="C10" s="360">
        <v>0</v>
      </c>
      <c r="D10" s="360">
        <v>0</v>
      </c>
      <c r="E10" s="360">
        <v>0</v>
      </c>
      <c r="F10" s="360">
        <v>0</v>
      </c>
      <c r="G10" s="360">
        <v>0</v>
      </c>
      <c r="H10" s="360">
        <v>0</v>
      </c>
      <c r="I10" s="360">
        <v>0</v>
      </c>
      <c r="J10" s="361">
        <v>0</v>
      </c>
    </row>
    <row r="11" spans="1:10">
      <c r="A11" s="358" t="s">
        <v>268</v>
      </c>
      <c r="B11" s="359" t="s">
        <v>269</v>
      </c>
      <c r="C11" s="360">
        <f>'BALANCE GENERAL'!D24</f>
        <v>36975.542499999989</v>
      </c>
      <c r="D11" s="360">
        <f>'BALANCE GENERAL'!E24</f>
        <v>37825.542499999989</v>
      </c>
      <c r="E11" s="360">
        <f>'BALANCE GENERAL'!F24</f>
        <v>28115.222499999996</v>
      </c>
      <c r="F11" s="360">
        <f>'BALANCE GENERAL'!G24</f>
        <v>28890.222499999996</v>
      </c>
      <c r="G11" s="360">
        <f>'BALANCE GENERAL'!H24</f>
        <v>41900.542499999989</v>
      </c>
      <c r="H11" s="360">
        <f>'BALANCE GENERAL'!I24</f>
        <v>42225.542499999989</v>
      </c>
      <c r="I11" s="360">
        <f>'BALANCE GENERAL'!J24</f>
        <v>30115.222499999996</v>
      </c>
      <c r="J11" s="361">
        <f>'BALANCE GENERAL'!K24</f>
        <v>29965.222499999996</v>
      </c>
    </row>
    <row r="12" spans="1:10">
      <c r="A12" s="358" t="s">
        <v>270</v>
      </c>
      <c r="B12" s="359" t="s">
        <v>271</v>
      </c>
      <c r="C12" s="360">
        <f>'BALANCE GENERAL'!D14</f>
        <v>57983.672119876785</v>
      </c>
      <c r="D12" s="360">
        <f>'BALANCE GENERAL'!E14</f>
        <v>70821.58372870172</v>
      </c>
      <c r="E12" s="360">
        <f>'BALANCE GENERAL'!F14</f>
        <v>67270.243274991633</v>
      </c>
      <c r="F12" s="360">
        <f>'BALANCE GENERAL'!G14</f>
        <v>74994.440763578386</v>
      </c>
      <c r="G12" s="360">
        <f>'BALANCE GENERAL'!H14</f>
        <v>100526.33500000001</v>
      </c>
      <c r="H12" s="360">
        <f>'BALANCE GENERAL'!I14</f>
        <v>114941.53500000002</v>
      </c>
      <c r="I12" s="360">
        <f>'BALANCE GENERAL'!J14</f>
        <v>112129.21500000004</v>
      </c>
      <c r="J12" s="361">
        <f>'BALANCE GENERAL'!K14</f>
        <v>121977.79500000003</v>
      </c>
    </row>
    <row r="13" spans="1:10">
      <c r="A13" s="358" t="s">
        <v>206</v>
      </c>
      <c r="B13" s="359" t="s">
        <v>207</v>
      </c>
      <c r="C13" s="360">
        <f>'BALANCE GENERAL'!D10</f>
        <v>11830</v>
      </c>
      <c r="D13" s="360">
        <f>'BALANCE GENERAL'!E10</f>
        <v>11830</v>
      </c>
      <c r="E13" s="360">
        <f>'BALANCE GENERAL'!F10</f>
        <v>11830</v>
      </c>
      <c r="F13" s="360">
        <f>'BALANCE GENERAL'!G10</f>
        <v>11830</v>
      </c>
      <c r="G13" s="360">
        <f>'BALANCE GENERAL'!H10</f>
        <v>11830</v>
      </c>
      <c r="H13" s="360">
        <f>'BALANCE GENERAL'!I10</f>
        <v>11830</v>
      </c>
      <c r="I13" s="360">
        <f>'BALANCE GENERAL'!J10</f>
        <v>11830</v>
      </c>
      <c r="J13" s="361">
        <f>'BALANCE GENERAL'!K10</f>
        <v>11830</v>
      </c>
    </row>
    <row r="14" spans="1:10">
      <c r="A14" s="358" t="s">
        <v>272</v>
      </c>
      <c r="B14" s="359" t="s">
        <v>273</v>
      </c>
      <c r="C14" s="360">
        <f>'BALANCE GENERAL'!D21</f>
        <v>12680.529358592461</v>
      </c>
      <c r="D14" s="360">
        <f>'BALANCE GENERAL'!E21</f>
        <v>9130.0405361031317</v>
      </c>
      <c r="E14" s="360">
        <f>'BALANCE GENERAL'!F21</f>
        <v>5575.2683712950693</v>
      </c>
      <c r="F14" s="360">
        <f>'BALANCE GENERAL'!G21</f>
        <v>2203.7400000000002</v>
      </c>
      <c r="G14" s="360">
        <f>'BALANCE GENERAL'!H21</f>
        <v>2203.7400000000002</v>
      </c>
      <c r="H14" s="360">
        <f>'BALANCE GENERAL'!I21</f>
        <v>2203.7400000000002</v>
      </c>
      <c r="I14" s="360">
        <f>'BALANCE GENERAL'!J21</f>
        <v>2203.7400000000002</v>
      </c>
      <c r="J14" s="361">
        <f>'BALANCE GENERAL'!K21</f>
        <v>2203.7400000000002</v>
      </c>
    </row>
    <row r="15" spans="1:10">
      <c r="A15" s="358" t="s">
        <v>274</v>
      </c>
      <c r="B15" s="359" t="s">
        <v>275</v>
      </c>
      <c r="C15" s="360">
        <f>'ESTADO DE GANACIAS Y PERDIDAS'!B12+'ESTADO DE GANACIAS Y PERDIDAS'!C12+'ESTADO DE GANACIAS Y PERDIDAS'!D12</f>
        <v>39179.282499999987</v>
      </c>
      <c r="D15" s="360">
        <f>'ESTADO DE GANACIAS Y PERDIDAS'!E12+'ESTADO DE GANACIAS Y PERDIDAS'!F12+'ESTADO DE GANACIAS Y PERDIDAS'!G12</f>
        <v>40029.282499999987</v>
      </c>
      <c r="E15" s="360">
        <f>'ESTADO DE GANACIAS Y PERDIDAS'!H12+'ESTADO DE GANACIAS Y PERDIDAS'!I12+'ESTADO DE GANACIAS Y PERDIDAS'!J12</f>
        <v>30318.962499999994</v>
      </c>
      <c r="F15" s="360">
        <f>'ESTADO DE GANACIAS Y PERDIDAS'!K12+'ESTADO DE GANACIAS Y PERDIDAS'!L12+'ESTADO DE GANACIAS Y PERDIDAS'!M12</f>
        <v>31093.962499999994</v>
      </c>
      <c r="G15" s="360">
        <f>'ESTADO DE GANACIAS Y PERDIDAS'!N12+'ESTADO DE GANACIAS Y PERDIDAS'!O12+'ESTADO DE GANACIAS Y PERDIDAS'!P12</f>
        <v>44104.282499999987</v>
      </c>
      <c r="H15" s="360">
        <f>'ESTADO DE GANACIAS Y PERDIDAS'!Q12+'ESTADO DE GANACIAS Y PERDIDAS'!R12+'ESTADO DE GANACIAS Y PERDIDAS'!S12</f>
        <v>44429.282499999987</v>
      </c>
      <c r="I15" s="360">
        <f>'ESTADO DE GANACIAS Y PERDIDAS'!T12+'ESTADO DE GANACIAS Y PERDIDAS'!U12+'ESTADO DE GANACIAS Y PERDIDAS'!V12</f>
        <v>32318.962499999994</v>
      </c>
      <c r="J15" s="361">
        <f>'ESTADO DE GANACIAS Y PERDIDAS'!W12+'ESTADO DE GANACIAS Y PERDIDAS'!X12+'ESTADO DE GANACIAS Y PERDIDAS'!Y12</f>
        <v>32168.962499999994</v>
      </c>
    </row>
    <row r="16" spans="1:10">
      <c r="A16" s="358" t="s">
        <v>276</v>
      </c>
      <c r="B16" s="359" t="s">
        <v>277</v>
      </c>
      <c r="C16" s="360">
        <f>'ESTADO DE GANACIAS Y PERDIDAS'!B4+'ESTADO DE GANACIAS Y PERDIDAS'!C4+'ESTADO DE GANACIAS Y PERDIDAS'!D4</f>
        <v>110187</v>
      </c>
      <c r="D16" s="360">
        <f>'ESTADO DE GANACIAS Y PERDIDAS'!E4+'ESTADO DE GANACIAS Y PERDIDAS'!F4+'ESTADO DE GANACIAS Y PERDIDAS'!G4</f>
        <v>110187</v>
      </c>
      <c r="E16" s="360">
        <f>'ESTADO DE GANACIAS Y PERDIDAS'!H4+'ESTADO DE GANACIAS Y PERDIDAS'!I4+'ESTADO DE GANACIAS Y PERDIDAS'!J4</f>
        <v>110187</v>
      </c>
      <c r="F16" s="360">
        <f>'ESTADO DE GANACIAS Y PERDIDAS'!K4+'ESTADO DE GANACIAS Y PERDIDAS'!L4+'ESTADO DE GANACIAS Y PERDIDAS'!M4</f>
        <v>110187</v>
      </c>
      <c r="G16" s="360">
        <f>'ESTADO DE GANACIAS Y PERDIDAS'!N4+'ESTADO DE GANACIAS Y PERDIDAS'!O4+'ESTADO DE GANACIAS Y PERDIDAS'!P4</f>
        <v>110187</v>
      </c>
      <c r="H16" s="360">
        <f>'ESTADO DE GANACIAS Y PERDIDAS'!Q4+'ESTADO DE GANACIAS Y PERDIDAS'!R4+'ESTADO DE GANACIAS Y PERDIDAS'!S4</f>
        <v>110187</v>
      </c>
      <c r="I16" s="360">
        <f>'ESTADO DE GANACIAS Y PERDIDAS'!T4+'ESTADO DE GANACIAS Y PERDIDAS'!U4+'ESTADO DE GANACIAS Y PERDIDAS'!V4</f>
        <v>110187</v>
      </c>
      <c r="J16" s="361">
        <f>'ESTADO DE GANACIAS Y PERDIDAS'!W4+'ESTADO DE GANACIAS Y PERDIDAS'!X4+'ESTADO DE GANACIAS Y PERDIDAS'!Y4</f>
        <v>110187</v>
      </c>
    </row>
    <row r="17" spans="1:10">
      <c r="A17" s="358" t="s">
        <v>201</v>
      </c>
      <c r="B17" s="359" t="s">
        <v>278</v>
      </c>
      <c r="C17" s="360">
        <v>0</v>
      </c>
      <c r="D17" s="360">
        <v>0</v>
      </c>
      <c r="E17" s="360">
        <v>0</v>
      </c>
      <c r="F17" s="360">
        <v>0</v>
      </c>
      <c r="G17" s="360">
        <v>0</v>
      </c>
      <c r="H17" s="360">
        <v>0</v>
      </c>
      <c r="I17" s="360">
        <v>0</v>
      </c>
      <c r="J17" s="361">
        <v>0</v>
      </c>
    </row>
    <row r="18" spans="1:10">
      <c r="A18" s="358" t="s">
        <v>279</v>
      </c>
      <c r="B18" s="359" t="s">
        <v>280</v>
      </c>
      <c r="C18" s="360">
        <f>'ESTADO DE GANACIAS Y PERDIDAS'!B5+'ESTADO DE GANACIAS Y PERDIDAS'!C5+'ESTADO DE GANACIAS Y PERDIDAS'!D5</f>
        <v>71007.717500000013</v>
      </c>
      <c r="D18" s="360">
        <f>'ESTADO DE GANACIAS Y PERDIDAS'!E5+'ESTADO DE GANACIAS Y PERDIDAS'!F5+'ESTADO DE GANACIAS Y PERDIDAS'!G5</f>
        <v>70157.717500000013</v>
      </c>
      <c r="E18" s="360">
        <f>'ESTADO DE GANACIAS Y PERDIDAS'!H5+'ESTADO DE GANACIAS Y PERDIDAS'!I5+'ESTADO DE GANACIAS Y PERDIDAS'!J5</f>
        <v>79868.037500000006</v>
      </c>
      <c r="F18" s="360">
        <f>'ESTADO DE GANACIAS Y PERDIDAS'!K5+'ESTADO DE GANACIAS Y PERDIDAS'!L5+'ESTADO DE GANACIAS Y PERDIDAS'!M5</f>
        <v>79093.037500000006</v>
      </c>
      <c r="G18" s="360">
        <f>'ESTADO DE GANACIAS Y PERDIDAS'!N5+'ESTADO DE GANACIAS Y PERDIDAS'!O5+'ESTADO DE GANACIAS Y PERDIDAS'!P5</f>
        <v>66082.717500000013</v>
      </c>
      <c r="H18" s="360">
        <f>'ESTADO DE GANACIAS Y PERDIDAS'!Q5+'ESTADO DE GANACIAS Y PERDIDAS'!R5+'ESTADO DE GANACIAS Y PERDIDAS'!S5</f>
        <v>65757.717500000013</v>
      </c>
      <c r="I18" s="360">
        <f>'ESTADO DE GANACIAS Y PERDIDAS'!T5+'ESTADO DE GANACIAS Y PERDIDAS'!U5+'ESTADO DE GANACIAS Y PERDIDAS'!V5</f>
        <v>77868.037500000006</v>
      </c>
      <c r="J18" s="361">
        <f>'ESTADO DE GANACIAS Y PERDIDAS'!W5+'ESTADO DE GANACIAS Y PERDIDAS'!X5+'ESTADO DE GANACIAS Y PERDIDAS'!Y5</f>
        <v>78018.037500000006</v>
      </c>
    </row>
    <row r="19" spans="1:10">
      <c r="A19" s="358" t="s">
        <v>281</v>
      </c>
      <c r="B19" s="359" t="s">
        <v>282</v>
      </c>
      <c r="C19" s="360">
        <f>'BALANCE GENERAL'!D10</f>
        <v>11830</v>
      </c>
      <c r="D19" s="360">
        <f>'BALANCE GENERAL'!E10</f>
        <v>11830</v>
      </c>
      <c r="E19" s="360">
        <f>'BALANCE GENERAL'!F10</f>
        <v>11830</v>
      </c>
      <c r="F19" s="360">
        <f>'BALANCE GENERAL'!G10</f>
        <v>11830</v>
      </c>
      <c r="G19" s="360">
        <f>'BALANCE GENERAL'!H10</f>
        <v>11830</v>
      </c>
      <c r="H19" s="360">
        <f>'BALANCE GENERAL'!I10</f>
        <v>11830</v>
      </c>
      <c r="I19" s="360">
        <f>'BALANCE GENERAL'!J10</f>
        <v>11830</v>
      </c>
      <c r="J19" s="361">
        <f>'BALANCE GENERAL'!K10</f>
        <v>11830</v>
      </c>
    </row>
    <row r="20" spans="1:10">
      <c r="A20" s="358" t="s">
        <v>283</v>
      </c>
      <c r="B20" s="359" t="s">
        <v>284</v>
      </c>
      <c r="C20" s="360">
        <f>C11</f>
        <v>36975.542499999989</v>
      </c>
      <c r="D20" s="360">
        <f t="shared" ref="D20:J20" si="0">D11</f>
        <v>37825.542499999989</v>
      </c>
      <c r="E20" s="360">
        <f t="shared" si="0"/>
        <v>28115.222499999996</v>
      </c>
      <c r="F20" s="360">
        <f t="shared" si="0"/>
        <v>28890.222499999996</v>
      </c>
      <c r="G20" s="360">
        <f t="shared" si="0"/>
        <v>41900.542499999989</v>
      </c>
      <c r="H20" s="360">
        <f t="shared" si="0"/>
        <v>42225.542499999989</v>
      </c>
      <c r="I20" s="360">
        <f t="shared" si="0"/>
        <v>30115.222499999996</v>
      </c>
      <c r="J20" s="361">
        <f t="shared" si="0"/>
        <v>29965.222499999996</v>
      </c>
    </row>
    <row r="21" spans="1:10">
      <c r="A21" s="358" t="s">
        <v>285</v>
      </c>
      <c r="B21" s="359" t="s">
        <v>286</v>
      </c>
      <c r="C21" s="360">
        <f>'FLUJO DE CAJA ECON FINANCI'!C15+'FLUJO DE CAJA ECON FINANCI'!D15+'FLUJO DE CAJA ECON FINANCI'!E15</f>
        <v>15.485572049006578</v>
      </c>
      <c r="D21" s="360">
        <f>'FLUJO DE CAJA ECON FINANCI'!F15+'FLUJO DE CAJA ECON FINANCI'!G15+'FLUJO DE CAJA ECON FINANCI'!H15</f>
        <v>11.207390967216952</v>
      </c>
      <c r="E21" s="360">
        <f>'FLUJO DE CAJA ECON FINANCI'!I15+'FLUJO DE CAJA ECON FINANCI'!J15+'FLUJO DE CAJA ECON FINANCI'!K15</f>
        <v>6.9240486484848134</v>
      </c>
      <c r="F21" s="360">
        <f>'FLUJO DE CAJA ECON FINANCI'!L15</f>
        <v>1.3552694052240946</v>
      </c>
      <c r="G21" s="360">
        <v>0</v>
      </c>
      <c r="H21" s="360">
        <v>0</v>
      </c>
      <c r="I21" s="360">
        <v>0</v>
      </c>
      <c r="J21" s="361">
        <v>0</v>
      </c>
    </row>
    <row r="22" spans="1:10">
      <c r="A22" s="358" t="s">
        <v>287</v>
      </c>
      <c r="B22" s="359" t="s">
        <v>288</v>
      </c>
      <c r="C22" s="360">
        <f>'ESTADO DE GANACIAS Y PERDIDAS'!B9+'ESTADO DE GANACIAS Y PERDIDAS'!B10+'ESTADO DE GANACIAS Y PERDIDAS'!C9+'ESTADO DE GANACIAS Y PERDIDAS'!C10+'ESTADO DE GANACIAS Y PERDIDAS'!D9+'ESTADO DE GANACIAS Y PERDIDAS'!D10</f>
        <v>31984.5</v>
      </c>
      <c r="D22" s="360">
        <f>C22</f>
        <v>31984.5</v>
      </c>
      <c r="E22" s="360">
        <f>'ESTADO DE GANACIAS Y PERDIDAS'!H9+'ESTADO DE GANACIAS Y PERDIDAS'!H10+'ESTADO DE GANACIAS Y PERDIDAS'!I9+'ESTADO DE GANACIAS Y PERDIDAS'!I10+'ESTADO DE GANACIAS Y PERDIDAS'!J9+'ESTADO DE GANACIAS Y PERDIDAS'!J10</f>
        <v>37182</v>
      </c>
      <c r="F22" s="360">
        <f>E22</f>
        <v>37182</v>
      </c>
      <c r="G22" s="360">
        <f>C22</f>
        <v>31984.5</v>
      </c>
      <c r="H22" s="360">
        <f>D22</f>
        <v>31984.5</v>
      </c>
      <c r="I22" s="360">
        <f>E22</f>
        <v>37182</v>
      </c>
      <c r="J22" s="361">
        <f>F22</f>
        <v>37182</v>
      </c>
    </row>
    <row r="23" spans="1:10" ht="14.25" thickBot="1">
      <c r="A23" s="362" t="s">
        <v>289</v>
      </c>
      <c r="B23" s="363" t="s">
        <v>290</v>
      </c>
      <c r="C23" s="364">
        <f>'BALANCE GENERAL'!D23</f>
        <v>12796.252500000001</v>
      </c>
      <c r="D23" s="364">
        <f>'BALANCE GENERAL'!E23</f>
        <v>12796.252500000001</v>
      </c>
      <c r="E23" s="364">
        <f>'BALANCE GENERAL'!F23</f>
        <v>12796.252500000001</v>
      </c>
      <c r="F23" s="364">
        <f>'BALANCE GENERAL'!G23</f>
        <v>12796.252500000001</v>
      </c>
      <c r="G23" s="364">
        <f>'BALANCE GENERAL'!H23</f>
        <v>12796.252500000001</v>
      </c>
      <c r="H23" s="364">
        <f>'BALANCE GENERAL'!I23</f>
        <v>12796.252500000001</v>
      </c>
      <c r="I23" s="364">
        <f>'BALANCE GENERAL'!J23</f>
        <v>12796.252500000001</v>
      </c>
      <c r="J23" s="365">
        <f>'BALANCE GENERAL'!K23</f>
        <v>12796.252500000001</v>
      </c>
    </row>
    <row r="24" spans="1:10">
      <c r="A24" s="162"/>
      <c r="B24" s="162"/>
      <c r="C24" s="357"/>
      <c r="D24" s="357"/>
      <c r="E24" s="357"/>
      <c r="F24" s="357"/>
      <c r="G24" s="357"/>
      <c r="H24" s="357"/>
      <c r="I24" s="357"/>
      <c r="J24" s="357"/>
    </row>
    <row r="25" spans="1:10" ht="14.25" thickBot="1">
      <c r="A25" s="162"/>
      <c r="B25" s="162"/>
      <c r="C25" s="357"/>
      <c r="D25" s="357"/>
      <c r="E25" s="357"/>
      <c r="F25" s="357"/>
      <c r="G25" s="357"/>
      <c r="H25" s="357"/>
      <c r="I25" s="357"/>
      <c r="J25" s="357"/>
    </row>
    <row r="26" spans="1:10" ht="23.25" thickBot="1">
      <c r="A26" s="162"/>
      <c r="B26" s="402" t="s">
        <v>291</v>
      </c>
      <c r="C26" s="403" t="s">
        <v>224</v>
      </c>
      <c r="D26" s="404" t="s">
        <v>225</v>
      </c>
      <c r="E26" s="404" t="s">
        <v>226</v>
      </c>
      <c r="F26" s="404" t="s">
        <v>227</v>
      </c>
      <c r="G26" s="404" t="s">
        <v>228</v>
      </c>
      <c r="H26" s="404" t="s">
        <v>229</v>
      </c>
      <c r="I26" s="404" t="s">
        <v>230</v>
      </c>
      <c r="J26" s="405" t="s">
        <v>231</v>
      </c>
    </row>
    <row r="27" spans="1:10">
      <c r="A27" s="162"/>
      <c r="B27" s="366" t="s">
        <v>292</v>
      </c>
      <c r="C27" s="367">
        <f>C5/C6</f>
        <v>3.4792584393685471</v>
      </c>
      <c r="D27" s="368">
        <f t="shared" ref="D27:J27" si="1">D5/D6</f>
        <v>6.2383896511897161</v>
      </c>
      <c r="E27" s="369">
        <f t="shared" si="1"/>
        <v>9.5789846129421132</v>
      </c>
      <c r="F27" s="369">
        <f t="shared" si="1"/>
        <v>27.739028846526836</v>
      </c>
      <c r="G27" s="369">
        <f t="shared" si="1"/>
        <v>39.324739609330805</v>
      </c>
      <c r="H27" s="369">
        <f t="shared" si="1"/>
        <v>45.865983131706408</v>
      </c>
      <c r="I27" s="369">
        <f t="shared" si="1"/>
        <v>44.589825327246729</v>
      </c>
      <c r="J27" s="370">
        <f t="shared" si="1"/>
        <v>49.058855249106834</v>
      </c>
    </row>
    <row r="28" spans="1:10">
      <c r="A28" s="162"/>
      <c r="B28" s="371" t="s">
        <v>293</v>
      </c>
      <c r="C28" s="372">
        <f>(C5-C7)/C6</f>
        <v>2.8462602203658847</v>
      </c>
      <c r="D28" s="373">
        <f t="shared" ref="D28:J28" si="2">(D5-D7)/D6</f>
        <v>5.3592311777678701</v>
      </c>
      <c r="E28" s="374">
        <f t="shared" si="2"/>
        <v>8.1392776848726616</v>
      </c>
      <c r="F28" s="374">
        <f t="shared" si="2"/>
        <v>24.096696947119465</v>
      </c>
      <c r="G28" s="374">
        <f t="shared" si="2"/>
        <v>35.682407709923432</v>
      </c>
      <c r="H28" s="374">
        <f t="shared" si="2"/>
        <v>42.223651232299034</v>
      </c>
      <c r="I28" s="374">
        <f t="shared" si="2"/>
        <v>40.947493427839355</v>
      </c>
      <c r="J28" s="375">
        <f t="shared" si="2"/>
        <v>45.41652334969946</v>
      </c>
    </row>
    <row r="29" spans="1:10">
      <c r="A29" s="162"/>
      <c r="B29" s="371" t="s">
        <v>294</v>
      </c>
      <c r="C29" s="372">
        <f>C8/C6</f>
        <v>2.8462602203658847</v>
      </c>
      <c r="D29" s="373">
        <f t="shared" ref="D29:J29" si="3">D8/D6</f>
        <v>5.3592311777678701</v>
      </c>
      <c r="E29" s="374">
        <f t="shared" si="3"/>
        <v>8.1392776848726616</v>
      </c>
      <c r="F29" s="374">
        <f t="shared" si="3"/>
        <v>24.096696947119465</v>
      </c>
      <c r="G29" s="374">
        <f t="shared" si="3"/>
        <v>35.682407709923432</v>
      </c>
      <c r="H29" s="374">
        <f t="shared" si="3"/>
        <v>42.223651232299034</v>
      </c>
      <c r="I29" s="374">
        <f t="shared" si="3"/>
        <v>40.947493427839355</v>
      </c>
      <c r="J29" s="375">
        <f t="shared" si="3"/>
        <v>45.41652334969946</v>
      </c>
    </row>
    <row r="30" spans="1:10" ht="14.25" thickBot="1">
      <c r="A30" s="162"/>
      <c r="B30" s="376" t="s">
        <v>295</v>
      </c>
      <c r="C30" s="377">
        <f>C5-C6</f>
        <v>31438.30942795099</v>
      </c>
      <c r="D30" s="378">
        <f t="shared" ref="D30:J30" si="4">D5-D6</f>
        <v>47826.709859265255</v>
      </c>
      <c r="E30" s="379">
        <f t="shared" si="4"/>
        <v>47830.141570363237</v>
      </c>
      <c r="F30" s="379">
        <f t="shared" si="4"/>
        <v>58925.86743024506</v>
      </c>
      <c r="G30" s="379">
        <f t="shared" si="4"/>
        <v>84457.761666666673</v>
      </c>
      <c r="H30" s="379">
        <f t="shared" si="4"/>
        <v>98872.961666666684</v>
      </c>
      <c r="I30" s="379">
        <f t="shared" si="4"/>
        <v>96060.641666666706</v>
      </c>
      <c r="J30" s="380">
        <f t="shared" si="4"/>
        <v>105909.22166666669</v>
      </c>
    </row>
    <row r="31" spans="1:10" ht="14.25" thickBot="1">
      <c r="A31" s="162"/>
      <c r="B31" s="162"/>
      <c r="C31" s="357"/>
      <c r="D31" s="357"/>
      <c r="E31" s="357"/>
      <c r="F31" s="357"/>
      <c r="G31" s="357"/>
      <c r="H31" s="357"/>
      <c r="I31" s="357"/>
      <c r="J31" s="357"/>
    </row>
    <row r="32" spans="1:10" ht="23.25" thickBot="1">
      <c r="A32" s="162"/>
      <c r="B32" s="406" t="s">
        <v>296</v>
      </c>
      <c r="C32" s="403" t="s">
        <v>224</v>
      </c>
      <c r="D32" s="404" t="s">
        <v>225</v>
      </c>
      <c r="E32" s="404" t="s">
        <v>226</v>
      </c>
      <c r="F32" s="404" t="s">
        <v>227</v>
      </c>
      <c r="G32" s="404" t="s">
        <v>228</v>
      </c>
      <c r="H32" s="404" t="s">
        <v>229</v>
      </c>
      <c r="I32" s="404" t="s">
        <v>230</v>
      </c>
      <c r="J32" s="405" t="s">
        <v>231</v>
      </c>
    </row>
    <row r="33" spans="1:10">
      <c r="A33" s="162"/>
      <c r="B33" s="366"/>
      <c r="C33" s="367"/>
      <c r="D33" s="368"/>
      <c r="E33" s="368"/>
      <c r="F33" s="368"/>
      <c r="G33" s="368"/>
      <c r="H33" s="368"/>
      <c r="I33" s="368"/>
      <c r="J33" s="381"/>
    </row>
    <row r="34" spans="1:10">
      <c r="A34" s="162"/>
      <c r="B34" s="371" t="s">
        <v>572</v>
      </c>
      <c r="C34" s="372">
        <f t="shared" ref="C34:H34" si="5">C18/C7</f>
        <v>8.8463818337490796</v>
      </c>
      <c r="D34" s="373">
        <f t="shared" si="5"/>
        <v>8.7404859561821553</v>
      </c>
      <c r="E34" s="373">
        <f t="shared" si="5"/>
        <v>9.9502304948358624</v>
      </c>
      <c r="F34" s="373">
        <f t="shared" si="5"/>
        <v>9.8536783711719025</v>
      </c>
      <c r="G34" s="373">
        <f t="shared" si="5"/>
        <v>8.2328086607877857</v>
      </c>
      <c r="H34" s="373">
        <f t="shared" si="5"/>
        <v>8.1923190605416085</v>
      </c>
      <c r="I34" s="373">
        <f t="shared" ref="I34" si="6">I18/I7</f>
        <v>9.7010637240901598</v>
      </c>
      <c r="J34" s="382">
        <f>J18/J7</f>
        <v>9.7197512318960868</v>
      </c>
    </row>
    <row r="35" spans="1:10">
      <c r="A35" s="162"/>
      <c r="B35" s="371" t="s">
        <v>573</v>
      </c>
      <c r="C35" s="372">
        <f t="shared" ref="C35:H35" si="7">C8/C16*360</f>
        <v>117.91909266207121</v>
      </c>
      <c r="D35" s="373">
        <f t="shared" si="7"/>
        <v>159.86277185450749</v>
      </c>
      <c r="E35" s="373">
        <f t="shared" si="7"/>
        <v>148.25992793157985</v>
      </c>
      <c r="F35" s="373">
        <f t="shared" si="7"/>
        <v>173.49621801926017</v>
      </c>
      <c r="G35" s="373">
        <f t="shared" si="7"/>
        <v>256.91333551144874</v>
      </c>
      <c r="H35" s="373">
        <f t="shared" si="7"/>
        <v>304.01028887255308</v>
      </c>
      <c r="I35" s="373">
        <f t="shared" ref="I35:J35" si="8">I8/I16*360</f>
        <v>294.82195268044342</v>
      </c>
      <c r="J35" s="382">
        <f t="shared" si="8"/>
        <v>326.99896811783611</v>
      </c>
    </row>
    <row r="36" spans="1:10">
      <c r="A36" s="162"/>
      <c r="B36" s="371" t="s">
        <v>574</v>
      </c>
      <c r="C36" s="372">
        <f>C16/C12</f>
        <v>1.9003108284035004</v>
      </c>
      <c r="D36" s="373">
        <f t="shared" ref="D36:J36" si="9">D16/D12</f>
        <v>1.5558392540626671</v>
      </c>
      <c r="E36" s="373">
        <f t="shared" si="9"/>
        <v>1.6379753459426405</v>
      </c>
      <c r="F36" s="373">
        <f t="shared" si="9"/>
        <v>1.4692689068429343</v>
      </c>
      <c r="G36" s="373">
        <f t="shared" si="9"/>
        <v>1.0961008376561225</v>
      </c>
      <c r="H36" s="373">
        <f t="shared" si="9"/>
        <v>0.95863518788051671</v>
      </c>
      <c r="I36" s="373">
        <f t="shared" si="9"/>
        <v>0.98267877822920602</v>
      </c>
      <c r="J36" s="382">
        <f t="shared" si="9"/>
        <v>0.90333654580327494</v>
      </c>
    </row>
    <row r="37" spans="1:10" ht="14.25" thickBot="1">
      <c r="A37" s="162"/>
      <c r="B37" s="376"/>
      <c r="C37" s="383"/>
      <c r="D37" s="384"/>
      <c r="E37" s="384"/>
      <c r="F37" s="384"/>
      <c r="G37" s="384"/>
      <c r="H37" s="384"/>
      <c r="I37" s="384"/>
      <c r="J37" s="385"/>
    </row>
    <row r="38" spans="1:10" ht="14.25" thickBot="1">
      <c r="A38" s="162"/>
      <c r="B38" s="162"/>
      <c r="C38" s="386"/>
      <c r="D38" s="386"/>
      <c r="E38" s="386"/>
      <c r="F38" s="386"/>
      <c r="G38" s="386"/>
      <c r="H38" s="386"/>
      <c r="I38" s="386"/>
      <c r="J38" s="386"/>
    </row>
    <row r="39" spans="1:10" ht="23.25" thickBot="1">
      <c r="A39" s="162"/>
      <c r="B39" s="407" t="s">
        <v>302</v>
      </c>
      <c r="C39" s="403" t="s">
        <v>224</v>
      </c>
      <c r="D39" s="404" t="s">
        <v>225</v>
      </c>
      <c r="E39" s="404" t="s">
        <v>226</v>
      </c>
      <c r="F39" s="404" t="s">
        <v>227</v>
      </c>
      <c r="G39" s="404" t="s">
        <v>228</v>
      </c>
      <c r="H39" s="404" t="s">
        <v>229</v>
      </c>
      <c r="I39" s="404" t="s">
        <v>230</v>
      </c>
      <c r="J39" s="405" t="s">
        <v>231</v>
      </c>
    </row>
    <row r="40" spans="1:10">
      <c r="A40" s="162"/>
      <c r="B40" s="366" t="s">
        <v>297</v>
      </c>
      <c r="C40" s="367">
        <f>C14/C9</f>
        <v>0.25477339843966773</v>
      </c>
      <c r="D40" s="368">
        <f t="shared" ref="D40:J40" si="10">D14/D9</f>
        <v>0.10422737490284033</v>
      </c>
      <c r="E40" s="368">
        <f t="shared" si="10"/>
        <v>4.8182050170656243E-2</v>
      </c>
      <c r="F40" s="368">
        <f t="shared" si="10"/>
        <v>1.523995570417188E-2</v>
      </c>
      <c r="G40" s="368">
        <f t="shared" si="10"/>
        <v>1.1816089605909175E-2</v>
      </c>
      <c r="H40" s="368">
        <f t="shared" si="10"/>
        <v>9.6347261457935592E-3</v>
      </c>
      <c r="I40" s="368">
        <f t="shared" si="10"/>
        <v>8.5137736774287594E-3</v>
      </c>
      <c r="J40" s="381">
        <f t="shared" si="10"/>
        <v>7.6304326232555283E-3</v>
      </c>
    </row>
    <row r="41" spans="1:10" ht="14.25" thickBot="1">
      <c r="A41" s="162"/>
      <c r="B41" s="376" t="s">
        <v>575</v>
      </c>
      <c r="C41" s="383">
        <f>C14/C12</f>
        <v>0.21869138146988071</v>
      </c>
      <c r="D41" s="384">
        <f t="shared" ref="D41:J41" si="11">D14/D12</f>
        <v>0.12891607410359307</v>
      </c>
      <c r="E41" s="384">
        <f t="shared" si="11"/>
        <v>8.2878671160800305E-2</v>
      </c>
      <c r="F41" s="384">
        <f t="shared" si="11"/>
        <v>2.9385378136858688E-2</v>
      </c>
      <c r="G41" s="384">
        <f t="shared" si="11"/>
        <v>2.1922016753122452E-2</v>
      </c>
      <c r="H41" s="384">
        <f t="shared" si="11"/>
        <v>1.9172703757610335E-2</v>
      </c>
      <c r="I41" s="384">
        <f t="shared" si="11"/>
        <v>1.9653575564584122E-2</v>
      </c>
      <c r="J41" s="385">
        <f t="shared" si="11"/>
        <v>1.8066730916065501E-2</v>
      </c>
    </row>
    <row r="42" spans="1:10" ht="14.25" thickBot="1">
      <c r="A42" s="162"/>
      <c r="B42" s="162"/>
      <c r="C42" s="387"/>
      <c r="D42" s="387"/>
      <c r="E42" s="387"/>
      <c r="F42" s="387"/>
      <c r="G42" s="387"/>
      <c r="H42" s="387"/>
      <c r="I42" s="387"/>
      <c r="J42" s="387"/>
    </row>
    <row r="43" spans="1:10" ht="23.25" thickBot="1">
      <c r="A43" s="162"/>
      <c r="B43" s="406" t="s">
        <v>298</v>
      </c>
      <c r="C43" s="403" t="s">
        <v>224</v>
      </c>
      <c r="D43" s="404" t="s">
        <v>225</v>
      </c>
      <c r="E43" s="404" t="s">
        <v>226</v>
      </c>
      <c r="F43" s="404" t="s">
        <v>227</v>
      </c>
      <c r="G43" s="404" t="s">
        <v>228</v>
      </c>
      <c r="H43" s="404" t="s">
        <v>229</v>
      </c>
      <c r="I43" s="404" t="s">
        <v>230</v>
      </c>
      <c r="J43" s="405" t="s">
        <v>231</v>
      </c>
    </row>
    <row r="44" spans="1:10">
      <c r="A44" s="162"/>
      <c r="B44" s="366" t="s">
        <v>576</v>
      </c>
      <c r="C44" s="367">
        <f>C11/C12</f>
        <v>0.63768887254253059</v>
      </c>
      <c r="D44" s="368">
        <f t="shared" ref="D44:I44" si="12">D11/D12</f>
        <v>0.53409625298552177</v>
      </c>
      <c r="E44" s="368">
        <f t="shared" si="12"/>
        <v>0.41794441540918442</v>
      </c>
      <c r="F44" s="368">
        <f t="shared" si="12"/>
        <v>0.38523152124138182</v>
      </c>
      <c r="G44" s="368">
        <f t="shared" si="12"/>
        <v>0.41681159966689313</v>
      </c>
      <c r="H44" s="368">
        <f t="shared" si="12"/>
        <v>0.3673653958075293</v>
      </c>
      <c r="I44" s="368">
        <f t="shared" si="12"/>
        <v>0.26857605754218455</v>
      </c>
      <c r="J44" s="381">
        <f>J11/J12</f>
        <v>0.24566129023729269</v>
      </c>
    </row>
    <row r="45" spans="1:10">
      <c r="A45" s="162"/>
      <c r="B45" s="371" t="s">
        <v>577</v>
      </c>
      <c r="C45" s="372">
        <f>C11/C9</f>
        <v>0.74290152685873589</v>
      </c>
      <c r="D45" s="373">
        <f t="shared" ref="D45:J45" si="13">D11/D9</f>
        <v>0.43181155477470989</v>
      </c>
      <c r="E45" s="373">
        <f t="shared" si="13"/>
        <v>0.24297468226439725</v>
      </c>
      <c r="F45" s="373">
        <f t="shared" si="13"/>
        <v>0.19979022533677734</v>
      </c>
      <c r="G45" s="373">
        <f t="shared" si="13"/>
        <v>0.22466378280387225</v>
      </c>
      <c r="H45" s="373">
        <f t="shared" si="13"/>
        <v>0.1846095902171159</v>
      </c>
      <c r="I45" s="373">
        <f t="shared" si="13"/>
        <v>0.11634502645975035</v>
      </c>
      <c r="J45" s="382">
        <f t="shared" si="13"/>
        <v>0.10375435002636905</v>
      </c>
    </row>
    <row r="46" spans="1:10">
      <c r="A46" s="162"/>
      <c r="B46" s="371" t="s">
        <v>578</v>
      </c>
      <c r="C46" s="372">
        <f>C11/C16</f>
        <v>0.33557082505195701</v>
      </c>
      <c r="D46" s="373">
        <f t="shared" ref="D46:H46" si="14">D11/D16</f>
        <v>0.34328498370951188</v>
      </c>
      <c r="E46" s="373">
        <f t="shared" si="14"/>
        <v>0.25515916124406685</v>
      </c>
      <c r="F46" s="374">
        <f t="shared" si="14"/>
        <v>0.26219265884360221</v>
      </c>
      <c r="G46" s="374">
        <f t="shared" si="14"/>
        <v>0.38026756786190741</v>
      </c>
      <c r="H46" s="374">
        <f t="shared" si="14"/>
        <v>0.38321709911332541</v>
      </c>
      <c r="I46" s="374">
        <f t="shared" ref="I46:J46" si="15">I11/I16</f>
        <v>0.27331012279125483</v>
      </c>
      <c r="J46" s="375">
        <f t="shared" si="15"/>
        <v>0.27194880067521576</v>
      </c>
    </row>
    <row r="47" spans="1:10" ht="14.25" thickBot="1">
      <c r="A47" s="162"/>
      <c r="B47" s="376" t="s">
        <v>579</v>
      </c>
      <c r="C47" s="383">
        <f t="shared" ref="C47:H47" si="16">(C16-C18)/C16</f>
        <v>0.35557082505195703</v>
      </c>
      <c r="D47" s="384">
        <f t="shared" si="16"/>
        <v>0.3632849837095119</v>
      </c>
      <c r="E47" s="384">
        <f t="shared" si="16"/>
        <v>0.27515916124406686</v>
      </c>
      <c r="F47" s="388">
        <f t="shared" si="16"/>
        <v>0.28219265884360217</v>
      </c>
      <c r="G47" s="388">
        <f t="shared" si="16"/>
        <v>0.40026756786190737</v>
      </c>
      <c r="H47" s="388">
        <f t="shared" si="16"/>
        <v>0.40321709911332543</v>
      </c>
      <c r="I47" s="388">
        <f t="shared" ref="I47:J47" si="17">(I16-I18)/I16</f>
        <v>0.29331012279125479</v>
      </c>
      <c r="J47" s="389">
        <f t="shared" si="17"/>
        <v>0.29194880067521572</v>
      </c>
    </row>
    <row r="48" spans="1:10">
      <c r="A48" s="162"/>
      <c r="B48" s="162"/>
      <c r="C48" s="357"/>
      <c r="D48" s="357"/>
      <c r="E48" s="357"/>
      <c r="F48" s="357"/>
      <c r="G48" s="357"/>
      <c r="H48" s="357"/>
      <c r="I48" s="357"/>
      <c r="J48" s="357"/>
    </row>
    <row r="49" spans="1:10">
      <c r="A49" s="162"/>
      <c r="B49" s="162"/>
      <c r="C49" s="357"/>
      <c r="D49" s="357"/>
      <c r="E49" s="357"/>
      <c r="F49" s="357"/>
      <c r="G49" s="357"/>
      <c r="H49" s="357"/>
      <c r="I49" s="357"/>
      <c r="J49" s="357"/>
    </row>
    <row r="50" spans="1:10">
      <c r="A50" s="162"/>
      <c r="B50" s="162"/>
      <c r="C50" s="357"/>
      <c r="D50" s="357"/>
      <c r="E50" s="357"/>
      <c r="F50" s="357"/>
      <c r="G50" s="357"/>
      <c r="H50" s="357"/>
      <c r="I50" s="357"/>
      <c r="J50" s="357"/>
    </row>
    <row r="51" spans="1:10">
      <c r="A51" s="162"/>
      <c r="B51" s="162"/>
      <c r="C51" s="357"/>
      <c r="D51" s="357"/>
      <c r="E51" s="357"/>
      <c r="F51" s="357"/>
      <c r="G51" s="357"/>
      <c r="H51" s="357"/>
      <c r="I51" s="357"/>
      <c r="J51" s="357"/>
    </row>
    <row r="52" spans="1:10">
      <c r="A52" s="162"/>
      <c r="B52" s="162"/>
      <c r="C52" s="357"/>
      <c r="D52" s="357"/>
      <c r="E52" s="357"/>
      <c r="F52" s="357"/>
      <c r="G52" s="357"/>
      <c r="H52" s="357"/>
      <c r="I52" s="357"/>
      <c r="J52" s="357"/>
    </row>
    <row r="53" spans="1:10">
      <c r="A53" s="162"/>
      <c r="B53" s="162"/>
      <c r="C53" s="357"/>
      <c r="D53" s="357"/>
      <c r="E53" s="357"/>
      <c r="F53" s="357"/>
      <c r="G53" s="357"/>
      <c r="H53" s="357"/>
      <c r="I53" s="357"/>
      <c r="J53" s="357"/>
    </row>
    <row r="54" spans="1:10">
      <c r="A54" s="162"/>
      <c r="B54" s="162"/>
      <c r="C54" s="357"/>
      <c r="D54" s="357"/>
      <c r="E54" s="357"/>
      <c r="F54" s="357"/>
      <c r="G54" s="357"/>
      <c r="H54" s="357"/>
      <c r="I54" s="357"/>
      <c r="J54" s="357"/>
    </row>
    <row r="55" spans="1:10">
      <c r="A55" s="162"/>
      <c r="B55" s="162"/>
      <c r="C55" s="357"/>
      <c r="D55" s="357"/>
      <c r="E55" s="357"/>
      <c r="F55" s="357"/>
      <c r="G55" s="357"/>
      <c r="H55" s="357"/>
      <c r="I55" s="357"/>
      <c r="J55" s="357"/>
    </row>
    <row r="56" spans="1:10">
      <c r="A56" s="162"/>
      <c r="B56" s="162"/>
      <c r="C56" s="357"/>
      <c r="D56" s="357"/>
      <c r="E56" s="357"/>
      <c r="F56" s="357"/>
      <c r="G56" s="357"/>
      <c r="H56" s="357"/>
      <c r="I56" s="357"/>
      <c r="J56" s="357"/>
    </row>
    <row r="57" spans="1:10">
      <c r="A57" s="162"/>
      <c r="B57" s="162"/>
      <c r="C57" s="357"/>
      <c r="D57" s="357"/>
      <c r="E57" s="357"/>
      <c r="F57" s="357"/>
      <c r="G57" s="357"/>
      <c r="H57" s="357"/>
      <c r="I57" s="357"/>
      <c r="J57" s="357"/>
    </row>
    <row r="58" spans="1:10">
      <c r="A58" s="162"/>
      <c r="B58" s="162"/>
      <c r="C58" s="357"/>
      <c r="D58" s="357"/>
      <c r="E58" s="357"/>
      <c r="F58" s="357"/>
      <c r="G58" s="357"/>
      <c r="H58" s="357"/>
      <c r="I58" s="357"/>
      <c r="J58" s="357"/>
    </row>
    <row r="59" spans="1:10">
      <c r="A59" s="162"/>
      <c r="B59" s="162"/>
      <c r="C59" s="357"/>
      <c r="D59" s="357"/>
      <c r="E59" s="357"/>
      <c r="F59" s="357"/>
      <c r="G59" s="357"/>
      <c r="H59" s="357"/>
      <c r="I59" s="357"/>
      <c r="J59" s="357"/>
    </row>
    <row r="60" spans="1:10">
      <c r="A60" s="162"/>
      <c r="B60" s="162"/>
      <c r="C60" s="357"/>
      <c r="D60" s="357"/>
      <c r="E60" s="357"/>
      <c r="F60" s="357"/>
      <c r="G60" s="357"/>
      <c r="H60" s="357"/>
      <c r="I60" s="357"/>
      <c r="J60" s="357"/>
    </row>
    <row r="61" spans="1:10">
      <c r="A61" s="162"/>
      <c r="B61" s="162"/>
      <c r="C61" s="357"/>
      <c r="D61" s="357"/>
      <c r="E61" s="357"/>
      <c r="F61" s="357"/>
      <c r="G61" s="357"/>
      <c r="H61" s="357"/>
      <c r="I61" s="357"/>
      <c r="J61" s="357"/>
    </row>
    <row r="62" spans="1:10">
      <c r="A62" s="162"/>
      <c r="B62" s="162"/>
      <c r="C62" s="357"/>
      <c r="D62" s="357"/>
      <c r="E62" s="357"/>
      <c r="F62" s="357"/>
      <c r="G62" s="357"/>
      <c r="H62" s="357"/>
      <c r="I62" s="357"/>
      <c r="J62" s="357"/>
    </row>
    <row r="63" spans="1:10">
      <c r="A63" s="162"/>
      <c r="B63" s="162"/>
      <c r="C63" s="357"/>
      <c r="D63" s="357"/>
      <c r="E63" s="357"/>
      <c r="F63" s="357"/>
      <c r="G63" s="357"/>
      <c r="H63" s="357"/>
      <c r="I63" s="357"/>
      <c r="J63" s="357"/>
    </row>
    <row r="64" spans="1:10">
      <c r="A64" s="162"/>
      <c r="B64" s="162"/>
      <c r="C64" s="357"/>
      <c r="D64" s="357"/>
      <c r="E64" s="357"/>
      <c r="F64" s="357"/>
      <c r="G64" s="357"/>
      <c r="H64" s="357"/>
      <c r="I64" s="357"/>
      <c r="J64" s="357"/>
    </row>
    <row r="65" spans="1:10">
      <c r="A65" s="162"/>
      <c r="B65" s="162"/>
      <c r="C65" s="357"/>
      <c r="D65" s="357"/>
      <c r="E65" s="357"/>
      <c r="F65" s="357"/>
      <c r="G65" s="357"/>
      <c r="H65" s="357"/>
      <c r="I65" s="357"/>
      <c r="J65" s="357"/>
    </row>
    <row r="66" spans="1:10">
      <c r="A66" s="162"/>
      <c r="B66" s="162"/>
      <c r="C66" s="357"/>
      <c r="D66" s="357"/>
      <c r="E66" s="357"/>
      <c r="F66" s="357"/>
      <c r="G66" s="357"/>
      <c r="H66" s="357"/>
      <c r="I66" s="357"/>
      <c r="J66" s="357"/>
    </row>
    <row r="67" spans="1:10">
      <c r="A67" s="162"/>
      <c r="B67" s="162"/>
      <c r="C67" s="357"/>
      <c r="D67" s="357"/>
      <c r="E67" s="357"/>
      <c r="F67" s="357"/>
      <c r="G67" s="357"/>
      <c r="H67" s="357"/>
      <c r="I67" s="357"/>
      <c r="J67" s="357"/>
    </row>
    <row r="68" spans="1:10">
      <c r="A68" s="162"/>
      <c r="B68" s="162"/>
      <c r="C68" s="357"/>
      <c r="D68" s="357"/>
      <c r="E68" s="357"/>
      <c r="F68" s="357"/>
      <c r="G68" s="357"/>
      <c r="H68" s="357"/>
      <c r="I68" s="357"/>
      <c r="J68" s="357"/>
    </row>
    <row r="69" spans="1:10">
      <c r="A69" s="162"/>
      <c r="B69" s="162"/>
      <c r="C69" s="357"/>
      <c r="D69" s="357"/>
      <c r="E69" s="357"/>
      <c r="F69" s="357"/>
      <c r="G69" s="357"/>
      <c r="H69" s="357"/>
      <c r="I69" s="357"/>
      <c r="J69" s="357"/>
    </row>
    <row r="70" spans="1:10">
      <c r="A70" s="162"/>
      <c r="B70" s="162"/>
      <c r="C70" s="357"/>
      <c r="D70" s="357"/>
      <c r="E70" s="357"/>
      <c r="F70" s="357"/>
      <c r="G70" s="357"/>
      <c r="H70" s="357"/>
      <c r="I70" s="357"/>
      <c r="J70" s="357"/>
    </row>
    <row r="71" spans="1:10">
      <c r="A71" s="162"/>
      <c r="B71" s="162"/>
      <c r="C71" s="357"/>
      <c r="D71" s="357"/>
      <c r="E71" s="357"/>
      <c r="F71" s="357"/>
      <c r="G71" s="357"/>
      <c r="H71" s="357"/>
      <c r="I71" s="357"/>
      <c r="J71" s="357"/>
    </row>
    <row r="72" spans="1:10">
      <c r="A72" s="162"/>
      <c r="B72" s="162"/>
      <c r="C72" s="357"/>
      <c r="D72" s="357"/>
      <c r="E72" s="357"/>
      <c r="F72" s="357"/>
      <c r="G72" s="357"/>
      <c r="H72" s="357"/>
      <c r="I72" s="357"/>
      <c r="J72" s="357"/>
    </row>
    <row r="73" spans="1:10">
      <c r="A73" s="162"/>
      <c r="B73" s="162"/>
      <c r="C73" s="357"/>
      <c r="D73" s="357"/>
      <c r="E73" s="357"/>
      <c r="F73" s="357"/>
      <c r="G73" s="357"/>
      <c r="H73" s="357"/>
      <c r="I73" s="357"/>
      <c r="J73" s="357"/>
    </row>
    <row r="74" spans="1:10">
      <c r="A74" s="162"/>
      <c r="B74" s="162"/>
      <c r="C74" s="357"/>
      <c r="D74" s="357"/>
      <c r="E74" s="357"/>
      <c r="F74" s="357"/>
      <c r="G74" s="357"/>
      <c r="H74" s="357"/>
      <c r="I74" s="357"/>
      <c r="J74" s="357"/>
    </row>
    <row r="75" spans="1:10">
      <c r="A75" s="162"/>
      <c r="B75" s="162"/>
      <c r="C75" s="357"/>
      <c r="D75" s="357"/>
      <c r="E75" s="357"/>
      <c r="F75" s="357"/>
      <c r="G75" s="357"/>
      <c r="H75" s="357"/>
      <c r="I75" s="357"/>
      <c r="J75" s="357"/>
    </row>
    <row r="76" spans="1:10">
      <c r="A76" s="162"/>
      <c r="B76" s="162"/>
      <c r="C76" s="357"/>
      <c r="D76" s="357"/>
      <c r="E76" s="357"/>
      <c r="F76" s="357"/>
      <c r="G76" s="357"/>
      <c r="H76" s="357"/>
      <c r="I76" s="357"/>
      <c r="J76" s="357"/>
    </row>
    <row r="77" spans="1:10">
      <c r="A77" s="162"/>
      <c r="B77" s="162"/>
      <c r="C77" s="357"/>
      <c r="D77" s="357"/>
      <c r="E77" s="357"/>
      <c r="F77" s="357"/>
      <c r="G77" s="357"/>
      <c r="H77" s="357"/>
      <c r="I77" s="357"/>
      <c r="J77" s="357"/>
    </row>
    <row r="78" spans="1:10">
      <c r="A78" s="162"/>
      <c r="B78" s="162"/>
      <c r="C78" s="357"/>
      <c r="D78" s="357"/>
      <c r="E78" s="357"/>
      <c r="F78" s="357"/>
      <c r="G78" s="357"/>
      <c r="H78" s="357"/>
      <c r="I78" s="357"/>
      <c r="J78" s="357"/>
    </row>
    <row r="79" spans="1:10">
      <c r="A79" s="162"/>
      <c r="B79" s="162"/>
      <c r="C79" s="357"/>
      <c r="D79" s="357"/>
      <c r="E79" s="357"/>
      <c r="F79" s="357"/>
      <c r="G79" s="357"/>
      <c r="H79" s="357"/>
      <c r="I79" s="357"/>
      <c r="J79" s="357"/>
    </row>
    <row r="80" spans="1:10">
      <c r="A80" s="162"/>
      <c r="B80" s="162"/>
      <c r="C80" s="357"/>
      <c r="D80" s="357"/>
      <c r="E80" s="357"/>
      <c r="F80" s="357"/>
      <c r="G80" s="357"/>
      <c r="H80" s="357"/>
      <c r="I80" s="357"/>
      <c r="J80" s="357"/>
    </row>
    <row r="81" spans="1:10">
      <c r="A81" s="162"/>
      <c r="B81" s="162"/>
      <c r="C81" s="357"/>
      <c r="D81" s="357"/>
      <c r="E81" s="357"/>
      <c r="F81" s="357"/>
      <c r="G81" s="357"/>
      <c r="H81" s="357"/>
      <c r="I81" s="357"/>
      <c r="J81" s="357"/>
    </row>
    <row r="82" spans="1:10">
      <c r="A82" s="162"/>
      <c r="B82" s="162"/>
      <c r="C82" s="357"/>
      <c r="D82" s="357"/>
      <c r="E82" s="357"/>
      <c r="F82" s="357"/>
      <c r="G82" s="357"/>
      <c r="H82" s="357"/>
      <c r="I82" s="357"/>
      <c r="J82" s="357"/>
    </row>
    <row r="83" spans="1:10">
      <c r="A83" s="162"/>
      <c r="B83" s="162"/>
      <c r="C83" s="357"/>
      <c r="D83" s="357"/>
      <c r="E83" s="357"/>
      <c r="F83" s="357"/>
      <c r="G83" s="357"/>
      <c r="H83" s="357"/>
      <c r="I83" s="357"/>
      <c r="J83" s="357"/>
    </row>
    <row r="84" spans="1:10">
      <c r="A84" s="162"/>
      <c r="B84" s="162"/>
      <c r="C84" s="357"/>
      <c r="D84" s="357"/>
      <c r="E84" s="357"/>
      <c r="F84" s="357"/>
      <c r="G84" s="357"/>
      <c r="H84" s="357"/>
      <c r="I84" s="357"/>
      <c r="J84" s="357"/>
    </row>
    <row r="85" spans="1:10">
      <c r="A85" s="162"/>
      <c r="B85" s="162"/>
      <c r="C85" s="357"/>
      <c r="D85" s="357"/>
      <c r="E85" s="357"/>
      <c r="F85" s="357"/>
      <c r="G85" s="357"/>
      <c r="H85" s="357"/>
      <c r="I85" s="357"/>
      <c r="J85" s="357"/>
    </row>
    <row r="86" spans="1:10">
      <c r="A86" s="162"/>
      <c r="B86" s="162"/>
      <c r="C86" s="357"/>
      <c r="D86" s="357"/>
      <c r="E86" s="357"/>
      <c r="F86" s="357"/>
      <c r="G86" s="357"/>
      <c r="H86" s="357"/>
      <c r="I86" s="357"/>
      <c r="J86" s="357"/>
    </row>
    <row r="87" spans="1:10">
      <c r="A87" s="162"/>
      <c r="B87" s="162"/>
      <c r="C87" s="357"/>
      <c r="D87" s="357"/>
      <c r="E87" s="357"/>
      <c r="F87" s="357"/>
      <c r="G87" s="357"/>
      <c r="H87" s="357"/>
      <c r="I87" s="357"/>
      <c r="J87" s="357"/>
    </row>
    <row r="88" spans="1:10">
      <c r="A88" s="162"/>
      <c r="B88" s="162"/>
      <c r="C88" s="357"/>
      <c r="D88" s="357"/>
      <c r="E88" s="357"/>
      <c r="F88" s="357"/>
      <c r="G88" s="357"/>
      <c r="H88" s="357"/>
      <c r="I88" s="357"/>
      <c r="J88" s="357"/>
    </row>
    <row r="89" spans="1:10">
      <c r="A89" s="162"/>
      <c r="B89" s="162"/>
      <c r="C89" s="357"/>
      <c r="D89" s="357"/>
      <c r="E89" s="357"/>
      <c r="F89" s="357"/>
      <c r="G89" s="357"/>
      <c r="H89" s="357"/>
      <c r="I89" s="357"/>
      <c r="J89" s="357"/>
    </row>
    <row r="90" spans="1:10">
      <c r="A90" s="162"/>
      <c r="B90" s="162"/>
      <c r="C90" s="357"/>
      <c r="D90" s="357"/>
      <c r="E90" s="357"/>
      <c r="F90" s="357"/>
      <c r="G90" s="357"/>
      <c r="H90" s="357"/>
      <c r="I90" s="357"/>
      <c r="J90" s="357"/>
    </row>
    <row r="91" spans="1:10">
      <c r="A91" s="162"/>
      <c r="B91" s="162"/>
      <c r="C91" s="357"/>
      <c r="D91" s="357"/>
      <c r="E91" s="357"/>
      <c r="F91" s="357"/>
      <c r="G91" s="357"/>
      <c r="H91" s="357"/>
      <c r="I91" s="357"/>
      <c r="J91" s="357"/>
    </row>
    <row r="92" spans="1:10">
      <c r="A92" s="162"/>
      <c r="B92" s="162"/>
      <c r="C92" s="357"/>
      <c r="D92" s="357"/>
      <c r="E92" s="357"/>
      <c r="F92" s="357"/>
      <c r="G92" s="357"/>
      <c r="H92" s="357"/>
      <c r="I92" s="357"/>
      <c r="J92" s="357"/>
    </row>
    <row r="93" spans="1:10">
      <c r="A93" s="162"/>
      <c r="B93" s="162"/>
      <c r="C93" s="357"/>
      <c r="D93" s="357"/>
      <c r="E93" s="357"/>
      <c r="F93" s="357"/>
      <c r="G93" s="357"/>
      <c r="H93" s="357"/>
      <c r="I93" s="357"/>
      <c r="J93" s="357"/>
    </row>
    <row r="94" spans="1:10">
      <c r="A94" s="162"/>
      <c r="B94" s="162"/>
      <c r="C94" s="357"/>
      <c r="D94" s="357"/>
      <c r="E94" s="357"/>
      <c r="F94" s="357"/>
      <c r="G94" s="357"/>
      <c r="H94" s="357"/>
      <c r="I94" s="357"/>
      <c r="J94" s="357"/>
    </row>
    <row r="95" spans="1:10">
      <c r="A95" s="162"/>
      <c r="B95" s="162"/>
      <c r="C95" s="357"/>
      <c r="D95" s="357"/>
      <c r="E95" s="357"/>
      <c r="F95" s="357"/>
      <c r="G95" s="357"/>
      <c r="H95" s="357"/>
      <c r="I95" s="357"/>
      <c r="J95" s="357"/>
    </row>
    <row r="96" spans="1:10">
      <c r="A96" s="162"/>
      <c r="B96" s="162"/>
      <c r="C96" s="357"/>
      <c r="D96" s="357"/>
      <c r="E96" s="357"/>
      <c r="F96" s="357"/>
      <c r="G96" s="357"/>
      <c r="H96" s="357"/>
      <c r="I96" s="357"/>
      <c r="J96" s="357"/>
    </row>
    <row r="97" spans="1:10">
      <c r="A97" s="162"/>
      <c r="B97" s="162"/>
      <c r="C97" s="357"/>
      <c r="D97" s="357"/>
      <c r="E97" s="357"/>
      <c r="F97" s="357"/>
      <c r="G97" s="357"/>
      <c r="H97" s="357"/>
      <c r="I97" s="357"/>
      <c r="J97" s="357"/>
    </row>
    <row r="98" spans="1:10">
      <c r="A98" s="162"/>
      <c r="B98" s="162"/>
      <c r="C98" s="357"/>
      <c r="D98" s="357"/>
      <c r="E98" s="357"/>
      <c r="F98" s="357"/>
      <c r="G98" s="357"/>
      <c r="H98" s="357"/>
      <c r="I98" s="357"/>
      <c r="J98" s="357"/>
    </row>
    <row r="99" spans="1:10">
      <c r="A99" s="162"/>
      <c r="B99" s="162"/>
      <c r="C99" s="357"/>
      <c r="D99" s="357"/>
      <c r="E99" s="357"/>
      <c r="F99" s="357"/>
      <c r="G99" s="357"/>
      <c r="H99" s="357"/>
      <c r="I99" s="357"/>
      <c r="J99" s="357"/>
    </row>
    <row r="100" spans="1:10">
      <c r="A100" s="162"/>
      <c r="B100" s="162"/>
      <c r="C100" s="357"/>
      <c r="D100" s="357"/>
      <c r="E100" s="357"/>
      <c r="F100" s="357"/>
      <c r="G100" s="357"/>
      <c r="H100" s="357"/>
      <c r="I100" s="357"/>
      <c r="J100" s="357"/>
    </row>
    <row r="101" spans="1:10">
      <c r="A101" s="162"/>
      <c r="B101" s="162"/>
      <c r="C101" s="357"/>
      <c r="D101" s="357"/>
      <c r="E101" s="357"/>
      <c r="F101" s="357"/>
      <c r="G101" s="357"/>
      <c r="H101" s="357"/>
      <c r="I101" s="357"/>
      <c r="J101" s="357"/>
    </row>
    <row r="102" spans="1:10">
      <c r="A102" s="162"/>
      <c r="B102" s="162"/>
      <c r="C102" s="357"/>
      <c r="D102" s="357"/>
      <c r="E102" s="357"/>
      <c r="F102" s="357"/>
      <c r="G102" s="357"/>
      <c r="H102" s="357"/>
      <c r="I102" s="357"/>
      <c r="J102" s="357"/>
    </row>
    <row r="103" spans="1:10">
      <c r="A103" s="162"/>
      <c r="B103" s="162"/>
      <c r="C103" s="357"/>
      <c r="D103" s="357"/>
      <c r="E103" s="357"/>
      <c r="F103" s="357"/>
      <c r="G103" s="357"/>
      <c r="H103" s="357"/>
      <c r="I103" s="357"/>
      <c r="J103" s="357"/>
    </row>
    <row r="104" spans="1:10">
      <c r="A104" s="162"/>
      <c r="B104" s="162"/>
      <c r="C104" s="357"/>
      <c r="D104" s="357"/>
      <c r="E104" s="357"/>
      <c r="F104" s="357"/>
      <c r="G104" s="357"/>
      <c r="H104" s="357"/>
      <c r="I104" s="357"/>
      <c r="J104" s="357"/>
    </row>
    <row r="105" spans="1:10">
      <c r="A105" s="162"/>
      <c r="B105" s="162"/>
      <c r="C105" s="357"/>
      <c r="D105" s="357"/>
      <c r="E105" s="357"/>
      <c r="F105" s="357"/>
      <c r="G105" s="357"/>
      <c r="H105" s="357"/>
      <c r="I105" s="357"/>
      <c r="J105" s="357"/>
    </row>
    <row r="106" spans="1:10">
      <c r="A106" s="162"/>
      <c r="B106" s="162"/>
      <c r="C106" s="357"/>
      <c r="D106" s="357"/>
      <c r="E106" s="357"/>
      <c r="F106" s="357"/>
      <c r="G106" s="357"/>
      <c r="H106" s="357"/>
      <c r="I106" s="357"/>
      <c r="J106" s="357"/>
    </row>
    <row r="107" spans="1:10">
      <c r="A107" s="162"/>
      <c r="B107" s="162"/>
      <c r="C107" s="357"/>
      <c r="D107" s="357"/>
      <c r="E107" s="357"/>
      <c r="F107" s="357"/>
      <c r="G107" s="357"/>
      <c r="H107" s="357"/>
      <c r="I107" s="357"/>
      <c r="J107" s="357"/>
    </row>
    <row r="108" spans="1:10">
      <c r="A108" s="162"/>
      <c r="B108" s="162"/>
      <c r="C108" s="357"/>
      <c r="D108" s="357"/>
      <c r="E108" s="357"/>
      <c r="F108" s="357"/>
      <c r="G108" s="357"/>
      <c r="H108" s="357"/>
      <c r="I108" s="357"/>
      <c r="J108" s="357"/>
    </row>
    <row r="109" spans="1:10">
      <c r="A109" s="162"/>
      <c r="B109" s="162"/>
      <c r="C109" s="357"/>
      <c r="D109" s="357"/>
      <c r="E109" s="357"/>
      <c r="F109" s="357"/>
      <c r="G109" s="357"/>
      <c r="H109" s="357"/>
      <c r="I109" s="357"/>
      <c r="J109" s="357"/>
    </row>
    <row r="110" spans="1:10">
      <c r="A110" s="162"/>
      <c r="B110" s="162"/>
      <c r="C110" s="357"/>
      <c r="D110" s="357"/>
      <c r="E110" s="357"/>
      <c r="F110" s="357"/>
      <c r="G110" s="357"/>
      <c r="H110" s="357"/>
      <c r="I110" s="357"/>
      <c r="J110" s="357"/>
    </row>
    <row r="111" spans="1:10">
      <c r="A111" s="162"/>
      <c r="B111" s="162"/>
      <c r="C111" s="357"/>
      <c r="D111" s="357"/>
      <c r="E111" s="357"/>
      <c r="F111" s="357"/>
      <c r="G111" s="357"/>
      <c r="H111" s="357"/>
      <c r="I111" s="357"/>
      <c r="J111" s="357"/>
    </row>
    <row r="112" spans="1:10">
      <c r="A112" s="162"/>
      <c r="B112" s="162"/>
      <c r="C112" s="357"/>
      <c r="D112" s="357"/>
      <c r="E112" s="357"/>
      <c r="F112" s="357"/>
      <c r="G112" s="357"/>
      <c r="H112" s="357"/>
      <c r="I112" s="357"/>
      <c r="J112" s="357"/>
    </row>
    <row r="113" spans="1:10">
      <c r="A113" s="162"/>
      <c r="B113" s="162"/>
      <c r="C113" s="357"/>
      <c r="D113" s="357"/>
      <c r="E113" s="357"/>
      <c r="F113" s="357"/>
      <c r="G113" s="357"/>
      <c r="H113" s="357"/>
      <c r="I113" s="357"/>
      <c r="J113" s="357"/>
    </row>
    <row r="114" spans="1:10">
      <c r="A114" s="162"/>
      <c r="B114" s="162"/>
      <c r="C114" s="357"/>
      <c r="D114" s="357"/>
      <c r="E114" s="357"/>
      <c r="F114" s="357"/>
      <c r="G114" s="357"/>
      <c r="H114" s="357"/>
      <c r="I114" s="357"/>
      <c r="J114" s="357"/>
    </row>
    <row r="115" spans="1:10">
      <c r="A115" s="162"/>
      <c r="B115" s="162"/>
      <c r="C115" s="357"/>
      <c r="D115" s="357"/>
      <c r="E115" s="357"/>
      <c r="F115" s="357"/>
      <c r="G115" s="357"/>
      <c r="H115" s="357"/>
      <c r="I115" s="357"/>
      <c r="J115" s="357"/>
    </row>
    <row r="116" spans="1:10">
      <c r="A116" s="162"/>
      <c r="B116" s="162"/>
      <c r="C116" s="357"/>
      <c r="D116" s="357"/>
      <c r="E116" s="357"/>
      <c r="F116" s="357"/>
      <c r="G116" s="357"/>
      <c r="H116" s="357"/>
      <c r="I116" s="357"/>
      <c r="J116" s="357"/>
    </row>
    <row r="117" spans="1:10">
      <c r="A117" s="162"/>
      <c r="B117" s="162"/>
      <c r="C117" s="357"/>
      <c r="D117" s="357"/>
      <c r="E117" s="357"/>
      <c r="F117" s="357"/>
      <c r="G117" s="357"/>
      <c r="H117" s="357"/>
      <c r="I117" s="357"/>
      <c r="J117" s="357"/>
    </row>
    <row r="118" spans="1:10">
      <c r="A118" s="162"/>
      <c r="B118" s="162"/>
      <c r="C118" s="357"/>
      <c r="D118" s="357"/>
      <c r="E118" s="357"/>
      <c r="F118" s="357"/>
      <c r="G118" s="357"/>
      <c r="H118" s="357"/>
      <c r="I118" s="357"/>
      <c r="J118" s="357"/>
    </row>
    <row r="119" spans="1:10">
      <c r="A119" s="162"/>
      <c r="B119" s="162"/>
      <c r="C119" s="357"/>
      <c r="D119" s="357"/>
      <c r="E119" s="357"/>
      <c r="F119" s="357"/>
      <c r="G119" s="357"/>
      <c r="H119" s="357"/>
      <c r="I119" s="357"/>
      <c r="J119" s="357"/>
    </row>
    <row r="120" spans="1:10">
      <c r="A120" s="162"/>
      <c r="B120" s="162"/>
      <c r="C120" s="357"/>
      <c r="D120" s="357"/>
      <c r="E120" s="357"/>
      <c r="F120" s="357"/>
      <c r="G120" s="357"/>
      <c r="H120" s="357"/>
      <c r="I120" s="357"/>
      <c r="J120" s="357"/>
    </row>
    <row r="121" spans="1:10">
      <c r="A121" s="162"/>
      <c r="B121" s="162"/>
      <c r="C121" s="357"/>
      <c r="D121" s="357"/>
      <c r="E121" s="357"/>
      <c r="F121" s="357"/>
      <c r="G121" s="357"/>
      <c r="H121" s="357"/>
      <c r="I121" s="357"/>
      <c r="J121" s="357"/>
    </row>
    <row r="122" spans="1:10">
      <c r="A122" s="162"/>
      <c r="B122" s="162"/>
      <c r="C122" s="357"/>
      <c r="D122" s="357"/>
      <c r="E122" s="357"/>
      <c r="F122" s="357"/>
      <c r="G122" s="357"/>
      <c r="H122" s="357"/>
      <c r="I122" s="357"/>
      <c r="J122" s="357"/>
    </row>
    <row r="123" spans="1:10">
      <c r="A123" s="162"/>
      <c r="B123" s="162"/>
      <c r="C123" s="357"/>
      <c r="D123" s="357"/>
      <c r="E123" s="357"/>
      <c r="F123" s="357"/>
      <c r="G123" s="357"/>
      <c r="H123" s="357"/>
      <c r="I123" s="357"/>
      <c r="J123" s="357"/>
    </row>
    <row r="124" spans="1:10">
      <c r="A124" s="162"/>
      <c r="B124" s="162"/>
      <c r="C124" s="357"/>
      <c r="D124" s="357"/>
      <c r="E124" s="357"/>
      <c r="F124" s="357"/>
      <c r="G124" s="357"/>
      <c r="H124" s="357"/>
      <c r="I124" s="357"/>
      <c r="J124" s="357"/>
    </row>
    <row r="125" spans="1:10">
      <c r="A125" s="162"/>
      <c r="B125" s="162"/>
      <c r="C125" s="357"/>
      <c r="D125" s="357"/>
      <c r="E125" s="357"/>
      <c r="F125" s="357"/>
      <c r="G125" s="357"/>
      <c r="H125" s="357"/>
      <c r="I125" s="357"/>
      <c r="J125" s="357"/>
    </row>
    <row r="126" spans="1:10">
      <c r="A126" s="162"/>
      <c r="B126" s="162"/>
      <c r="C126" s="357"/>
      <c r="D126" s="357"/>
      <c r="E126" s="357"/>
      <c r="F126" s="357"/>
      <c r="G126" s="357"/>
      <c r="H126" s="357"/>
      <c r="I126" s="357"/>
      <c r="J126" s="357"/>
    </row>
    <row r="127" spans="1:10">
      <c r="A127" s="162"/>
      <c r="B127" s="162"/>
      <c r="C127" s="357"/>
      <c r="D127" s="357"/>
      <c r="E127" s="357"/>
      <c r="F127" s="357"/>
      <c r="G127" s="357"/>
      <c r="H127" s="357"/>
      <c r="I127" s="357"/>
      <c r="J127" s="357"/>
    </row>
    <row r="128" spans="1:10">
      <c r="A128" s="162"/>
      <c r="B128" s="162"/>
      <c r="C128" s="357"/>
      <c r="D128" s="357"/>
      <c r="E128" s="357"/>
      <c r="F128" s="357"/>
      <c r="G128" s="357"/>
      <c r="H128" s="357"/>
      <c r="I128" s="357"/>
      <c r="J128" s="357"/>
    </row>
    <row r="129" spans="1:10">
      <c r="A129" s="162"/>
      <c r="B129" s="162"/>
      <c r="C129" s="357"/>
      <c r="D129" s="357"/>
      <c r="E129" s="357"/>
      <c r="F129" s="357"/>
      <c r="G129" s="357"/>
      <c r="H129" s="357"/>
      <c r="I129" s="357"/>
      <c r="J129" s="357"/>
    </row>
    <row r="130" spans="1:10">
      <c r="A130" s="162"/>
      <c r="B130" s="162"/>
      <c r="C130" s="357"/>
      <c r="D130" s="357"/>
      <c r="E130" s="357"/>
      <c r="F130" s="357"/>
      <c r="G130" s="357"/>
      <c r="H130" s="357"/>
      <c r="I130" s="357"/>
      <c r="J130" s="357"/>
    </row>
    <row r="131" spans="1:10">
      <c r="A131" s="162"/>
      <c r="B131" s="162"/>
      <c r="C131" s="357"/>
      <c r="D131" s="357"/>
      <c r="E131" s="357"/>
      <c r="F131" s="357"/>
      <c r="G131" s="357"/>
      <c r="H131" s="357"/>
      <c r="I131" s="357"/>
      <c r="J131" s="357"/>
    </row>
    <row r="132" spans="1:10">
      <c r="A132" s="162"/>
      <c r="B132" s="162"/>
      <c r="C132" s="357"/>
      <c r="D132" s="357"/>
      <c r="E132" s="357"/>
      <c r="F132" s="357"/>
      <c r="G132" s="357"/>
      <c r="H132" s="357"/>
      <c r="I132" s="357"/>
      <c r="J132" s="357"/>
    </row>
    <row r="133" spans="1:10">
      <c r="A133" s="162"/>
      <c r="B133" s="162"/>
      <c r="C133" s="357"/>
      <c r="D133" s="357"/>
      <c r="E133" s="357"/>
      <c r="F133" s="357"/>
      <c r="G133" s="357"/>
      <c r="H133" s="357"/>
      <c r="I133" s="357"/>
      <c r="J133" s="357"/>
    </row>
    <row r="134" spans="1:10">
      <c r="A134" s="162"/>
      <c r="B134" s="162"/>
      <c r="C134" s="357"/>
      <c r="D134" s="357"/>
      <c r="E134" s="357"/>
      <c r="F134" s="357"/>
      <c r="G134" s="357"/>
      <c r="H134" s="357"/>
      <c r="I134" s="357"/>
      <c r="J134" s="357"/>
    </row>
    <row r="135" spans="1:10">
      <c r="A135" s="162"/>
      <c r="B135" s="162"/>
      <c r="C135" s="357"/>
      <c r="D135" s="357"/>
      <c r="E135" s="357"/>
      <c r="F135" s="357"/>
      <c r="G135" s="357"/>
      <c r="H135" s="357"/>
      <c r="I135" s="357"/>
      <c r="J135" s="357"/>
    </row>
    <row r="136" spans="1:10">
      <c r="A136" s="162"/>
      <c r="B136" s="162"/>
      <c r="C136" s="357"/>
      <c r="D136" s="357"/>
      <c r="E136" s="357"/>
      <c r="F136" s="357"/>
      <c r="G136" s="357"/>
      <c r="H136" s="357"/>
      <c r="I136" s="357"/>
      <c r="J136" s="357"/>
    </row>
    <row r="137" spans="1:10">
      <c r="A137" s="162"/>
      <c r="B137" s="162"/>
      <c r="C137" s="357"/>
      <c r="D137" s="357"/>
      <c r="E137" s="357"/>
      <c r="F137" s="357"/>
      <c r="G137" s="357"/>
      <c r="H137" s="357"/>
      <c r="I137" s="357"/>
      <c r="J137" s="357"/>
    </row>
    <row r="138" spans="1:10">
      <c r="A138" s="162"/>
      <c r="B138" s="162"/>
      <c r="C138" s="357"/>
      <c r="D138" s="357"/>
      <c r="E138" s="357"/>
      <c r="F138" s="357"/>
      <c r="G138" s="357"/>
      <c r="H138" s="357"/>
      <c r="I138" s="357"/>
      <c r="J138" s="357"/>
    </row>
    <row r="139" spans="1:10">
      <c r="A139" s="162"/>
      <c r="B139" s="162"/>
      <c r="C139" s="357"/>
      <c r="D139" s="357"/>
      <c r="E139" s="357"/>
      <c r="F139" s="357"/>
      <c r="G139" s="357"/>
      <c r="H139" s="357"/>
      <c r="I139" s="357"/>
      <c r="J139" s="357"/>
    </row>
    <row r="140" spans="1:10">
      <c r="A140" s="162"/>
      <c r="B140" s="162"/>
      <c r="C140" s="357"/>
      <c r="D140" s="357"/>
      <c r="E140" s="357"/>
      <c r="F140" s="357"/>
      <c r="G140" s="357"/>
      <c r="H140" s="357"/>
      <c r="I140" s="357"/>
      <c r="J140" s="357"/>
    </row>
    <row r="141" spans="1:10">
      <c r="A141" s="162"/>
      <c r="B141" s="162"/>
      <c r="C141" s="357"/>
      <c r="D141" s="357"/>
      <c r="E141" s="357"/>
      <c r="F141" s="357"/>
      <c r="G141" s="357"/>
      <c r="H141" s="357"/>
      <c r="I141" s="357"/>
      <c r="J141" s="357"/>
    </row>
    <row r="142" spans="1:10">
      <c r="A142" s="162"/>
      <c r="B142" s="162"/>
      <c r="C142" s="357"/>
      <c r="D142" s="357"/>
      <c r="E142" s="357"/>
      <c r="F142" s="357"/>
      <c r="G142" s="357"/>
      <c r="H142" s="357"/>
      <c r="I142" s="357"/>
      <c r="J142" s="357"/>
    </row>
    <row r="143" spans="1:10">
      <c r="A143" s="162"/>
      <c r="B143" s="162"/>
      <c r="C143" s="357"/>
      <c r="D143" s="357"/>
      <c r="E143" s="357"/>
      <c r="F143" s="357"/>
      <c r="G143" s="357"/>
      <c r="H143" s="357"/>
      <c r="I143" s="357"/>
      <c r="J143" s="357"/>
    </row>
    <row r="144" spans="1:10">
      <c r="A144" s="162"/>
      <c r="B144" s="162"/>
      <c r="C144" s="357"/>
      <c r="D144" s="357"/>
      <c r="E144" s="357"/>
      <c r="F144" s="357"/>
      <c r="G144" s="357"/>
      <c r="H144" s="357"/>
      <c r="I144" s="357"/>
      <c r="J144" s="357"/>
    </row>
    <row r="145" spans="1:10">
      <c r="A145" s="162"/>
      <c r="B145" s="162"/>
      <c r="C145" s="357"/>
      <c r="D145" s="357"/>
      <c r="E145" s="357"/>
      <c r="F145" s="357"/>
      <c r="G145" s="357"/>
      <c r="H145" s="357"/>
      <c r="I145" s="357"/>
      <c r="J145" s="357"/>
    </row>
    <row r="146" spans="1:10">
      <c r="A146" s="162"/>
      <c r="B146" s="162"/>
      <c r="C146" s="357"/>
      <c r="D146" s="357"/>
      <c r="E146" s="357"/>
      <c r="F146" s="357"/>
      <c r="G146" s="357"/>
      <c r="H146" s="357"/>
      <c r="I146" s="357"/>
      <c r="J146" s="357"/>
    </row>
    <row r="147" spans="1:10">
      <c r="A147" s="162"/>
      <c r="B147" s="162"/>
      <c r="C147" s="357"/>
      <c r="D147" s="357"/>
      <c r="E147" s="357"/>
      <c r="F147" s="357"/>
      <c r="G147" s="357"/>
      <c r="H147" s="357"/>
      <c r="I147" s="357"/>
      <c r="J147" s="357"/>
    </row>
    <row r="148" spans="1:10">
      <c r="A148" s="162"/>
      <c r="B148" s="162"/>
      <c r="C148" s="357"/>
      <c r="D148" s="357"/>
      <c r="E148" s="357"/>
      <c r="F148" s="357"/>
      <c r="G148" s="357"/>
      <c r="H148" s="357"/>
      <c r="I148" s="357"/>
      <c r="J148" s="357"/>
    </row>
    <row r="149" spans="1:10">
      <c r="A149" s="162"/>
      <c r="B149" s="162"/>
      <c r="C149" s="357"/>
      <c r="D149" s="357"/>
      <c r="E149" s="357"/>
      <c r="F149" s="357"/>
      <c r="G149" s="357"/>
      <c r="H149" s="357"/>
      <c r="I149" s="357"/>
      <c r="J149" s="357"/>
    </row>
    <row r="150" spans="1:10">
      <c r="A150" s="162"/>
      <c r="B150" s="162"/>
      <c r="C150" s="357"/>
      <c r="D150" s="357"/>
      <c r="E150" s="357"/>
      <c r="F150" s="357"/>
      <c r="G150" s="357"/>
      <c r="H150" s="357"/>
      <c r="I150" s="357"/>
      <c r="J150" s="357"/>
    </row>
    <row r="151" spans="1:10">
      <c r="A151" s="162"/>
      <c r="B151" s="162"/>
      <c r="C151" s="357"/>
      <c r="D151" s="357"/>
      <c r="E151" s="357"/>
      <c r="F151" s="357"/>
      <c r="G151" s="357"/>
      <c r="H151" s="357"/>
      <c r="I151" s="357"/>
      <c r="J151" s="357"/>
    </row>
    <row r="152" spans="1:10">
      <c r="A152" s="162"/>
      <c r="B152" s="162"/>
      <c r="C152" s="357"/>
      <c r="D152" s="357"/>
      <c r="E152" s="357"/>
      <c r="F152" s="357"/>
      <c r="G152" s="357"/>
      <c r="H152" s="357"/>
      <c r="I152" s="357"/>
      <c r="J152" s="357"/>
    </row>
    <row r="153" spans="1:10">
      <c r="A153" s="162"/>
      <c r="B153" s="162"/>
      <c r="C153" s="357"/>
      <c r="D153" s="357"/>
      <c r="E153" s="357"/>
      <c r="F153" s="357"/>
      <c r="G153" s="357"/>
      <c r="H153" s="357"/>
      <c r="I153" s="357"/>
      <c r="J153" s="357"/>
    </row>
    <row r="154" spans="1:10">
      <c r="A154" s="162"/>
      <c r="B154" s="162"/>
      <c r="C154" s="357"/>
      <c r="D154" s="357"/>
      <c r="E154" s="357"/>
      <c r="F154" s="357"/>
      <c r="G154" s="357"/>
      <c r="H154" s="357"/>
      <c r="I154" s="357"/>
      <c r="J154" s="357"/>
    </row>
    <row r="155" spans="1:10">
      <c r="A155" s="162"/>
      <c r="B155" s="162"/>
      <c r="C155" s="357"/>
      <c r="D155" s="357"/>
      <c r="E155" s="357"/>
      <c r="F155" s="357"/>
      <c r="G155" s="357"/>
      <c r="H155" s="357"/>
      <c r="I155" s="357"/>
      <c r="J155" s="357"/>
    </row>
    <row r="156" spans="1:10">
      <c r="A156" s="162"/>
      <c r="B156" s="162"/>
      <c r="C156" s="357"/>
      <c r="D156" s="357"/>
      <c r="E156" s="357"/>
      <c r="F156" s="357"/>
      <c r="G156" s="357"/>
      <c r="H156" s="357"/>
      <c r="I156" s="357"/>
      <c r="J156" s="357"/>
    </row>
    <row r="157" spans="1:10">
      <c r="A157" s="162"/>
      <c r="B157" s="162"/>
      <c r="C157" s="357"/>
      <c r="D157" s="357"/>
      <c r="E157" s="357"/>
      <c r="F157" s="357"/>
      <c r="G157" s="357"/>
      <c r="H157" s="357"/>
      <c r="I157" s="357"/>
      <c r="J157" s="357"/>
    </row>
    <row r="158" spans="1:10">
      <c r="A158" s="162"/>
      <c r="B158" s="162"/>
      <c r="C158" s="357"/>
      <c r="D158" s="357"/>
      <c r="E158" s="357"/>
      <c r="F158" s="357"/>
      <c r="G158" s="357"/>
      <c r="H158" s="357"/>
      <c r="I158" s="357"/>
      <c r="J158" s="357"/>
    </row>
    <row r="159" spans="1:10">
      <c r="A159" s="162"/>
      <c r="B159" s="162"/>
      <c r="C159" s="357"/>
      <c r="D159" s="357"/>
      <c r="E159" s="357"/>
      <c r="F159" s="357"/>
      <c r="G159" s="357"/>
      <c r="H159" s="357"/>
      <c r="I159" s="357"/>
      <c r="J159" s="357"/>
    </row>
    <row r="160" spans="1:10">
      <c r="A160" s="162"/>
      <c r="B160" s="162"/>
      <c r="C160" s="357"/>
      <c r="D160" s="357"/>
      <c r="E160" s="357"/>
      <c r="F160" s="357"/>
      <c r="G160" s="357"/>
      <c r="H160" s="357"/>
      <c r="I160" s="357"/>
      <c r="J160" s="357"/>
    </row>
    <row r="161" spans="1:10">
      <c r="A161" s="162"/>
      <c r="B161" s="162"/>
      <c r="C161" s="357"/>
      <c r="D161" s="357"/>
      <c r="E161" s="357"/>
      <c r="F161" s="357"/>
      <c r="G161" s="357"/>
      <c r="H161" s="357"/>
      <c r="I161" s="357"/>
      <c r="J161" s="357"/>
    </row>
    <row r="162" spans="1:10">
      <c r="A162" s="162"/>
      <c r="B162" s="162"/>
      <c r="C162" s="357"/>
      <c r="D162" s="357"/>
      <c r="E162" s="357"/>
      <c r="F162" s="357"/>
      <c r="G162" s="357"/>
      <c r="H162" s="357"/>
      <c r="I162" s="357"/>
      <c r="J162" s="357"/>
    </row>
    <row r="163" spans="1:10">
      <c r="A163" s="162"/>
      <c r="B163" s="162"/>
      <c r="C163" s="357"/>
      <c r="D163" s="357"/>
      <c r="E163" s="357"/>
      <c r="F163" s="357"/>
      <c r="G163" s="357"/>
      <c r="H163" s="357"/>
      <c r="I163" s="357"/>
      <c r="J163" s="357"/>
    </row>
    <row r="164" spans="1:10">
      <c r="A164" s="162"/>
      <c r="B164" s="162"/>
      <c r="C164" s="357"/>
      <c r="D164" s="357"/>
      <c r="E164" s="357"/>
      <c r="F164" s="357"/>
      <c r="G164" s="357"/>
      <c r="H164" s="357"/>
      <c r="I164" s="357"/>
      <c r="J164" s="357"/>
    </row>
    <row r="165" spans="1:10">
      <c r="A165" s="162"/>
      <c r="B165" s="162"/>
      <c r="C165" s="357"/>
      <c r="D165" s="357"/>
      <c r="E165" s="357"/>
      <c r="F165" s="357"/>
      <c r="G165" s="357"/>
      <c r="H165" s="357"/>
      <c r="I165" s="357"/>
      <c r="J165" s="357"/>
    </row>
    <row r="166" spans="1:10">
      <c r="A166" s="162"/>
      <c r="B166" s="162"/>
      <c r="C166" s="357"/>
      <c r="D166" s="357"/>
      <c r="E166" s="357"/>
      <c r="F166" s="357"/>
      <c r="G166" s="357"/>
      <c r="H166" s="357"/>
      <c r="I166" s="357"/>
      <c r="J166" s="357"/>
    </row>
    <row r="167" spans="1:10">
      <c r="A167" s="162"/>
      <c r="B167" s="162"/>
      <c r="C167" s="357"/>
      <c r="D167" s="357"/>
      <c r="E167" s="357"/>
      <c r="F167" s="357"/>
      <c r="G167" s="357"/>
      <c r="H167" s="357"/>
      <c r="I167" s="357"/>
      <c r="J167" s="357"/>
    </row>
    <row r="168" spans="1:10">
      <c r="A168" s="162"/>
      <c r="B168" s="162"/>
      <c r="C168" s="357"/>
      <c r="D168" s="357"/>
      <c r="E168" s="357"/>
      <c r="F168" s="357"/>
      <c r="G168" s="357"/>
      <c r="H168" s="357"/>
      <c r="I168" s="357"/>
      <c r="J168" s="357"/>
    </row>
    <row r="169" spans="1:10">
      <c r="A169" s="162"/>
      <c r="B169" s="162"/>
      <c r="C169" s="357"/>
      <c r="D169" s="357"/>
      <c r="E169" s="357"/>
      <c r="F169" s="357"/>
      <c r="G169" s="357"/>
      <c r="H169" s="357"/>
      <c r="I169" s="357"/>
      <c r="J169" s="357"/>
    </row>
    <row r="170" spans="1:10">
      <c r="A170" s="162"/>
      <c r="B170" s="162"/>
      <c r="C170" s="357"/>
      <c r="D170" s="357"/>
      <c r="E170" s="357"/>
      <c r="F170" s="357"/>
      <c r="G170" s="357"/>
      <c r="H170" s="357"/>
      <c r="I170" s="357"/>
      <c r="J170" s="357"/>
    </row>
    <row r="171" spans="1:10">
      <c r="A171" s="162"/>
      <c r="B171" s="162"/>
      <c r="C171" s="357"/>
      <c r="D171" s="357"/>
      <c r="E171" s="357"/>
      <c r="F171" s="357"/>
      <c r="G171" s="357"/>
      <c r="H171" s="357"/>
      <c r="I171" s="357"/>
      <c r="J171" s="357"/>
    </row>
    <row r="172" spans="1:10">
      <c r="A172" s="162"/>
      <c r="B172" s="162"/>
      <c r="C172" s="357"/>
      <c r="D172" s="357"/>
      <c r="E172" s="357"/>
      <c r="F172" s="357"/>
      <c r="G172" s="357"/>
      <c r="H172" s="357"/>
      <c r="I172" s="357"/>
      <c r="J172" s="357"/>
    </row>
    <row r="173" spans="1:10">
      <c r="A173" s="162"/>
      <c r="B173" s="162"/>
      <c r="C173" s="357"/>
      <c r="D173" s="357"/>
      <c r="E173" s="357"/>
      <c r="F173" s="357"/>
      <c r="G173" s="357"/>
      <c r="H173" s="357"/>
      <c r="I173" s="357"/>
      <c r="J173" s="357"/>
    </row>
    <row r="174" spans="1:10">
      <c r="A174" s="162"/>
      <c r="B174" s="162"/>
      <c r="C174" s="357"/>
      <c r="D174" s="357"/>
      <c r="E174" s="357"/>
      <c r="F174" s="357"/>
      <c r="G174" s="357"/>
      <c r="H174" s="357"/>
      <c r="I174" s="357"/>
      <c r="J174" s="357"/>
    </row>
    <row r="175" spans="1:10">
      <c r="A175" s="162"/>
      <c r="B175" s="162"/>
      <c r="C175" s="357"/>
      <c r="D175" s="357"/>
      <c r="E175" s="357"/>
      <c r="F175" s="357"/>
      <c r="G175" s="357"/>
      <c r="H175" s="357"/>
      <c r="I175" s="357"/>
      <c r="J175" s="357"/>
    </row>
    <row r="176" spans="1:10">
      <c r="A176" s="162"/>
      <c r="B176" s="162"/>
      <c r="C176" s="357"/>
      <c r="D176" s="357"/>
      <c r="E176" s="357"/>
      <c r="F176" s="357"/>
      <c r="G176" s="357"/>
      <c r="H176" s="357"/>
      <c r="I176" s="357"/>
      <c r="J176" s="357"/>
    </row>
    <row r="177" spans="1:10">
      <c r="A177" s="162"/>
      <c r="B177" s="162"/>
      <c r="C177" s="357"/>
      <c r="D177" s="357"/>
      <c r="E177" s="357"/>
      <c r="F177" s="357"/>
      <c r="G177" s="357"/>
      <c r="H177" s="357"/>
      <c r="I177" s="357"/>
      <c r="J177" s="357"/>
    </row>
    <row r="178" spans="1:10">
      <c r="A178" s="162"/>
      <c r="B178" s="162"/>
      <c r="C178" s="357"/>
      <c r="D178" s="357"/>
      <c r="E178" s="357"/>
      <c r="F178" s="357"/>
      <c r="G178" s="357"/>
      <c r="H178" s="357"/>
      <c r="I178" s="357"/>
      <c r="J178" s="357"/>
    </row>
    <row r="179" spans="1:10">
      <c r="A179" s="162"/>
      <c r="B179" s="162"/>
      <c r="C179" s="357"/>
      <c r="D179" s="357"/>
      <c r="E179" s="357"/>
      <c r="F179" s="357"/>
      <c r="G179" s="357"/>
      <c r="H179" s="357"/>
      <c r="I179" s="357"/>
      <c r="J179" s="357"/>
    </row>
    <row r="180" spans="1:10">
      <c r="A180" s="162"/>
      <c r="B180" s="162"/>
      <c r="C180" s="357"/>
      <c r="D180" s="357"/>
      <c r="E180" s="357"/>
      <c r="F180" s="357"/>
      <c r="G180" s="357"/>
      <c r="H180" s="357"/>
      <c r="I180" s="357"/>
      <c r="J180" s="357"/>
    </row>
    <row r="181" spans="1:10">
      <c r="A181" s="162"/>
      <c r="B181" s="162"/>
      <c r="C181" s="357"/>
      <c r="D181" s="357"/>
      <c r="E181" s="357"/>
      <c r="F181" s="357"/>
      <c r="G181" s="357"/>
      <c r="H181" s="357"/>
      <c r="I181" s="357"/>
      <c r="J181" s="357"/>
    </row>
    <row r="182" spans="1:10">
      <c r="A182" s="162"/>
      <c r="B182" s="162"/>
      <c r="C182" s="357"/>
      <c r="D182" s="357"/>
      <c r="E182" s="357"/>
      <c r="F182" s="357"/>
      <c r="G182" s="357"/>
      <c r="H182" s="357"/>
      <c r="I182" s="357"/>
      <c r="J182" s="357"/>
    </row>
    <row r="183" spans="1:10">
      <c r="A183" s="162"/>
      <c r="B183" s="162"/>
      <c r="C183" s="357"/>
      <c r="D183" s="357"/>
      <c r="E183" s="357"/>
      <c r="F183" s="357"/>
      <c r="G183" s="357"/>
      <c r="H183" s="357"/>
      <c r="I183" s="357"/>
      <c r="J183" s="357"/>
    </row>
    <row r="184" spans="1:10">
      <c r="A184" s="162"/>
      <c r="B184" s="162"/>
      <c r="C184" s="357"/>
      <c r="D184" s="357"/>
      <c r="E184" s="357"/>
      <c r="F184" s="357"/>
      <c r="G184" s="357"/>
      <c r="H184" s="357"/>
      <c r="I184" s="357"/>
      <c r="J184" s="357"/>
    </row>
    <row r="185" spans="1:10">
      <c r="A185" s="162"/>
      <c r="B185" s="162"/>
      <c r="C185" s="357"/>
      <c r="D185" s="357"/>
      <c r="E185" s="357"/>
      <c r="F185" s="357"/>
      <c r="G185" s="357"/>
      <c r="H185" s="357"/>
      <c r="I185" s="357"/>
      <c r="J185" s="357"/>
    </row>
    <row r="186" spans="1:10">
      <c r="A186" s="162"/>
      <c r="B186" s="162"/>
      <c r="C186" s="357"/>
      <c r="D186" s="357"/>
      <c r="E186" s="357"/>
      <c r="F186" s="357"/>
      <c r="G186" s="357"/>
      <c r="H186" s="357"/>
      <c r="I186" s="357"/>
      <c r="J186" s="357"/>
    </row>
    <row r="187" spans="1:10">
      <c r="A187" s="162"/>
      <c r="B187" s="162"/>
      <c r="C187" s="357"/>
      <c r="D187" s="357"/>
      <c r="E187" s="357"/>
      <c r="F187" s="357"/>
      <c r="G187" s="357"/>
      <c r="H187" s="357"/>
      <c r="I187" s="357"/>
      <c r="J187" s="357"/>
    </row>
    <row r="188" spans="1:10">
      <c r="A188" s="162"/>
      <c r="B188" s="162"/>
      <c r="C188" s="357"/>
      <c r="D188" s="357"/>
      <c r="E188" s="357"/>
      <c r="F188" s="357"/>
      <c r="G188" s="357"/>
      <c r="H188" s="357"/>
      <c r="I188" s="357"/>
      <c r="J188" s="357"/>
    </row>
    <row r="189" spans="1:10">
      <c r="A189" s="162"/>
      <c r="B189" s="162"/>
      <c r="C189" s="357"/>
      <c r="D189" s="357"/>
      <c r="E189" s="357"/>
      <c r="F189" s="357"/>
      <c r="G189" s="357"/>
      <c r="H189" s="357"/>
      <c r="I189" s="357"/>
      <c r="J189" s="357"/>
    </row>
    <row r="190" spans="1:10">
      <c r="A190" s="162"/>
      <c r="B190" s="162"/>
      <c r="C190" s="357"/>
      <c r="D190" s="357"/>
      <c r="E190" s="357"/>
      <c r="F190" s="357"/>
      <c r="G190" s="357"/>
      <c r="H190" s="357"/>
      <c r="I190" s="357"/>
      <c r="J190" s="357"/>
    </row>
    <row r="191" spans="1:10">
      <c r="A191" s="162"/>
      <c r="B191" s="162"/>
      <c r="C191" s="357"/>
      <c r="D191" s="357"/>
      <c r="E191" s="357"/>
      <c r="F191" s="357"/>
      <c r="G191" s="357"/>
      <c r="H191" s="357"/>
      <c r="I191" s="357"/>
      <c r="J191" s="357"/>
    </row>
    <row r="192" spans="1:10">
      <c r="A192" s="162"/>
      <c r="B192" s="162"/>
      <c r="C192" s="357"/>
      <c r="D192" s="357"/>
      <c r="E192" s="357"/>
      <c r="F192" s="357"/>
      <c r="G192" s="357"/>
      <c r="H192" s="357"/>
      <c r="I192" s="357"/>
      <c r="J192" s="357"/>
    </row>
    <row r="193" spans="1:10">
      <c r="A193" s="162"/>
      <c r="B193" s="162"/>
      <c r="C193" s="357"/>
      <c r="D193" s="357"/>
      <c r="E193" s="357"/>
      <c r="F193" s="357"/>
      <c r="G193" s="357"/>
      <c r="H193" s="357"/>
      <c r="I193" s="357"/>
      <c r="J193" s="357"/>
    </row>
    <row r="194" spans="1:10">
      <c r="A194" s="162"/>
      <c r="B194" s="162"/>
      <c r="C194" s="357"/>
      <c r="D194" s="357"/>
      <c r="E194" s="357"/>
      <c r="F194" s="357"/>
      <c r="G194" s="357"/>
      <c r="H194" s="357"/>
      <c r="I194" s="357"/>
      <c r="J194" s="357"/>
    </row>
    <row r="195" spans="1:10">
      <c r="A195" s="162"/>
      <c r="B195" s="162"/>
      <c r="C195" s="357"/>
      <c r="D195" s="357"/>
      <c r="E195" s="357"/>
      <c r="F195" s="357"/>
      <c r="G195" s="357"/>
      <c r="H195" s="357"/>
      <c r="I195" s="357"/>
      <c r="J195" s="357"/>
    </row>
    <row r="196" spans="1:10">
      <c r="A196" s="162"/>
      <c r="B196" s="162"/>
      <c r="C196" s="357"/>
      <c r="D196" s="357"/>
      <c r="E196" s="357"/>
      <c r="F196" s="357"/>
      <c r="G196" s="357"/>
      <c r="H196" s="357"/>
      <c r="I196" s="357"/>
      <c r="J196" s="357"/>
    </row>
    <row r="197" spans="1:10">
      <c r="A197" s="162"/>
      <c r="B197" s="162"/>
      <c r="C197" s="357"/>
      <c r="D197" s="357"/>
      <c r="E197" s="357"/>
      <c r="F197" s="357"/>
      <c r="G197" s="357"/>
      <c r="H197" s="357"/>
      <c r="I197" s="357"/>
      <c r="J197" s="357"/>
    </row>
    <row r="198" spans="1:10">
      <c r="A198" s="162"/>
      <c r="B198" s="162"/>
      <c r="C198" s="357"/>
      <c r="D198" s="357"/>
      <c r="E198" s="357"/>
      <c r="F198" s="357"/>
      <c r="G198" s="357"/>
      <c r="H198" s="357"/>
      <c r="I198" s="357"/>
      <c r="J198" s="357"/>
    </row>
    <row r="199" spans="1:10">
      <c r="A199" s="162"/>
      <c r="B199" s="162"/>
      <c r="C199" s="357"/>
      <c r="D199" s="357"/>
      <c r="E199" s="357"/>
      <c r="F199" s="357"/>
      <c r="G199" s="357"/>
      <c r="H199" s="357"/>
      <c r="I199" s="357"/>
      <c r="J199" s="357"/>
    </row>
    <row r="200" spans="1:10">
      <c r="A200" s="162"/>
      <c r="B200" s="162"/>
      <c r="C200" s="357"/>
      <c r="D200" s="357"/>
      <c r="E200" s="357"/>
      <c r="F200" s="357"/>
      <c r="G200" s="357"/>
      <c r="H200" s="357"/>
      <c r="I200" s="357"/>
      <c r="J200" s="357"/>
    </row>
    <row r="201" spans="1:10">
      <c r="A201" s="162"/>
      <c r="B201" s="162"/>
      <c r="C201" s="357"/>
      <c r="D201" s="357"/>
      <c r="E201" s="357"/>
      <c r="F201" s="357"/>
      <c r="G201" s="357"/>
      <c r="H201" s="357"/>
      <c r="I201" s="357"/>
      <c r="J201" s="357"/>
    </row>
    <row r="202" spans="1:10">
      <c r="A202" s="162"/>
      <c r="B202" s="162"/>
      <c r="C202" s="357"/>
      <c r="D202" s="357"/>
      <c r="E202" s="357"/>
      <c r="F202" s="357"/>
      <c r="G202" s="357"/>
      <c r="H202" s="357"/>
      <c r="I202" s="357"/>
      <c r="J202" s="357"/>
    </row>
    <row r="203" spans="1:10">
      <c r="A203" s="162"/>
      <c r="B203" s="162"/>
      <c r="C203" s="357"/>
      <c r="D203" s="357"/>
      <c r="E203" s="357"/>
      <c r="F203" s="357"/>
      <c r="G203" s="357"/>
      <c r="H203" s="357"/>
      <c r="I203" s="357"/>
      <c r="J203" s="357"/>
    </row>
    <row r="204" spans="1:10">
      <c r="A204" s="162"/>
      <c r="B204" s="162"/>
      <c r="C204" s="357"/>
      <c r="D204" s="357"/>
      <c r="E204" s="357"/>
      <c r="F204" s="357"/>
      <c r="G204" s="357"/>
      <c r="H204" s="357"/>
      <c r="I204" s="357"/>
      <c r="J204" s="357"/>
    </row>
    <row r="205" spans="1:10">
      <c r="A205" s="162"/>
      <c r="B205" s="162"/>
      <c r="C205" s="357"/>
      <c r="D205" s="357"/>
      <c r="E205" s="357"/>
      <c r="F205" s="357"/>
      <c r="G205" s="357"/>
      <c r="H205" s="357"/>
      <c r="I205" s="357"/>
      <c r="J205" s="357"/>
    </row>
    <row r="206" spans="1:10">
      <c r="A206" s="162"/>
      <c r="B206" s="162"/>
      <c r="C206" s="357"/>
      <c r="D206" s="357"/>
      <c r="E206" s="357"/>
      <c r="F206" s="357"/>
      <c r="G206" s="357"/>
      <c r="H206" s="357"/>
      <c r="I206" s="357"/>
      <c r="J206" s="357"/>
    </row>
    <row r="207" spans="1:10">
      <c r="A207" s="162"/>
      <c r="B207" s="162"/>
      <c r="C207" s="357"/>
      <c r="D207" s="357"/>
      <c r="E207" s="357"/>
      <c r="F207" s="357"/>
      <c r="G207" s="357"/>
      <c r="H207" s="357"/>
      <c r="I207" s="357"/>
      <c r="J207" s="357"/>
    </row>
    <row r="208" spans="1:10">
      <c r="A208" s="162"/>
      <c r="B208" s="162"/>
      <c r="C208" s="357"/>
      <c r="D208" s="357"/>
      <c r="E208" s="357"/>
      <c r="F208" s="357"/>
      <c r="G208" s="357"/>
      <c r="H208" s="357"/>
      <c r="I208" s="357"/>
      <c r="J208" s="357"/>
    </row>
    <row r="209" spans="1:10">
      <c r="A209" s="162"/>
      <c r="B209" s="162"/>
      <c r="C209" s="357"/>
      <c r="D209" s="357"/>
      <c r="E209" s="357"/>
      <c r="F209" s="357"/>
      <c r="G209" s="357"/>
      <c r="H209" s="357"/>
      <c r="I209" s="357"/>
      <c r="J209" s="357"/>
    </row>
    <row r="210" spans="1:10">
      <c r="A210" s="162"/>
      <c r="B210" s="162"/>
      <c r="C210" s="357"/>
      <c r="D210" s="357"/>
      <c r="E210" s="357"/>
      <c r="F210" s="357"/>
      <c r="G210" s="357"/>
      <c r="H210" s="357"/>
      <c r="I210" s="357"/>
      <c r="J210" s="357"/>
    </row>
    <row r="211" spans="1:10">
      <c r="A211" s="162"/>
      <c r="B211" s="162"/>
      <c r="C211" s="357"/>
      <c r="D211" s="357"/>
      <c r="E211" s="357"/>
      <c r="F211" s="357"/>
      <c r="G211" s="357"/>
      <c r="H211" s="357"/>
      <c r="I211" s="357"/>
      <c r="J211" s="357"/>
    </row>
    <row r="212" spans="1:10">
      <c r="A212" s="162"/>
      <c r="B212" s="162"/>
      <c r="C212" s="357"/>
      <c r="D212" s="357"/>
      <c r="E212" s="357"/>
      <c r="F212" s="357"/>
      <c r="G212" s="357"/>
      <c r="H212" s="357"/>
      <c r="I212" s="357"/>
      <c r="J212" s="357"/>
    </row>
    <row r="213" spans="1:10">
      <c r="A213" s="162"/>
      <c r="B213" s="162"/>
      <c r="C213" s="357"/>
      <c r="D213" s="357"/>
      <c r="E213" s="357"/>
      <c r="F213" s="357"/>
      <c r="G213" s="357"/>
      <c r="H213" s="357"/>
      <c r="I213" s="357"/>
      <c r="J213" s="357"/>
    </row>
    <row r="214" spans="1:10">
      <c r="A214" s="162"/>
      <c r="B214" s="162"/>
      <c r="C214" s="357"/>
      <c r="D214" s="357"/>
      <c r="E214" s="357"/>
      <c r="F214" s="357"/>
      <c r="G214" s="357"/>
      <c r="H214" s="357"/>
      <c r="I214" s="357"/>
      <c r="J214" s="357"/>
    </row>
    <row r="215" spans="1:10">
      <c r="A215" s="162"/>
      <c r="B215" s="162"/>
      <c r="C215" s="357"/>
      <c r="D215" s="357"/>
      <c r="E215" s="357"/>
      <c r="F215" s="357"/>
      <c r="G215" s="357"/>
      <c r="H215" s="357"/>
      <c r="I215" s="357"/>
      <c r="J215" s="357"/>
    </row>
    <row r="216" spans="1:10">
      <c r="A216" s="162"/>
      <c r="B216" s="162"/>
      <c r="C216" s="357"/>
      <c r="D216" s="357"/>
      <c r="E216" s="357"/>
      <c r="F216" s="357"/>
      <c r="G216" s="357"/>
      <c r="H216" s="357"/>
      <c r="I216" s="357"/>
      <c r="J216" s="357"/>
    </row>
    <row r="217" spans="1:10">
      <c r="A217" s="162"/>
      <c r="B217" s="162"/>
      <c r="C217" s="357"/>
      <c r="D217" s="357"/>
      <c r="E217" s="357"/>
      <c r="F217" s="357"/>
      <c r="G217" s="357"/>
      <c r="H217" s="357"/>
      <c r="I217" s="357"/>
      <c r="J217" s="357"/>
    </row>
    <row r="218" spans="1:10">
      <c r="A218" s="162"/>
      <c r="B218" s="162"/>
      <c r="C218" s="357"/>
      <c r="D218" s="357"/>
      <c r="E218" s="357"/>
      <c r="F218" s="357"/>
      <c r="G218" s="357"/>
      <c r="H218" s="357"/>
      <c r="I218" s="357"/>
      <c r="J218" s="357"/>
    </row>
    <row r="219" spans="1:10">
      <c r="A219" s="162"/>
      <c r="B219" s="162"/>
      <c r="C219" s="357"/>
      <c r="D219" s="357"/>
      <c r="E219" s="357"/>
      <c r="F219" s="357"/>
      <c r="G219" s="357"/>
      <c r="H219" s="357"/>
      <c r="I219" s="357"/>
      <c r="J219" s="357"/>
    </row>
    <row r="220" spans="1:10">
      <c r="A220" s="162"/>
      <c r="B220" s="162"/>
      <c r="C220" s="357"/>
      <c r="D220" s="357"/>
      <c r="E220" s="357"/>
      <c r="F220" s="357"/>
      <c r="G220" s="357"/>
      <c r="H220" s="357"/>
      <c r="I220" s="357"/>
      <c r="J220" s="357"/>
    </row>
    <row r="221" spans="1:10">
      <c r="A221" s="162"/>
      <c r="B221" s="162"/>
      <c r="C221" s="357"/>
      <c r="D221" s="357"/>
      <c r="E221" s="357"/>
      <c r="F221" s="357"/>
      <c r="G221" s="357"/>
      <c r="H221" s="357"/>
      <c r="I221" s="357"/>
      <c r="J221" s="357"/>
    </row>
    <row r="222" spans="1:10">
      <c r="A222" s="162"/>
      <c r="B222" s="162"/>
      <c r="C222" s="357"/>
      <c r="D222" s="357"/>
      <c r="E222" s="357"/>
      <c r="F222" s="357"/>
      <c r="G222" s="357"/>
      <c r="H222" s="357"/>
      <c r="I222" s="357"/>
      <c r="J222" s="357"/>
    </row>
    <row r="223" spans="1:10">
      <c r="A223" s="162"/>
      <c r="B223" s="162"/>
      <c r="C223" s="357"/>
      <c r="D223" s="357"/>
      <c r="E223" s="357"/>
      <c r="F223" s="357"/>
      <c r="G223" s="357"/>
      <c r="H223" s="357"/>
      <c r="I223" s="357"/>
      <c r="J223" s="357"/>
    </row>
    <row r="224" spans="1:10">
      <c r="A224" s="162"/>
      <c r="B224" s="162"/>
      <c r="C224" s="357"/>
      <c r="D224" s="357"/>
      <c r="E224" s="357"/>
      <c r="F224" s="357"/>
      <c r="G224" s="357"/>
      <c r="H224" s="357"/>
      <c r="I224" s="357"/>
      <c r="J224" s="357"/>
    </row>
    <row r="225" spans="1:10">
      <c r="A225" s="162"/>
      <c r="B225" s="162"/>
      <c r="C225" s="357"/>
      <c r="D225" s="357"/>
      <c r="E225" s="357"/>
      <c r="F225" s="357"/>
      <c r="G225" s="357"/>
      <c r="H225" s="357"/>
      <c r="I225" s="357"/>
      <c r="J225" s="357"/>
    </row>
    <row r="226" spans="1:10">
      <c r="A226" s="162"/>
      <c r="B226" s="162"/>
      <c r="C226" s="357"/>
      <c r="D226" s="357"/>
      <c r="E226" s="357"/>
      <c r="F226" s="357"/>
      <c r="G226" s="357"/>
      <c r="H226" s="357"/>
      <c r="I226" s="357"/>
      <c r="J226" s="357"/>
    </row>
    <row r="227" spans="1:10">
      <c r="A227" s="162"/>
      <c r="B227" s="162"/>
      <c r="C227" s="357"/>
      <c r="D227" s="357"/>
      <c r="E227" s="357"/>
      <c r="F227" s="357"/>
      <c r="G227" s="357"/>
      <c r="H227" s="357"/>
      <c r="I227" s="357"/>
      <c r="J227" s="357"/>
    </row>
    <row r="228" spans="1:10">
      <c r="A228" s="162"/>
      <c r="B228" s="162"/>
      <c r="C228" s="357"/>
      <c r="D228" s="357"/>
      <c r="E228" s="357"/>
      <c r="F228" s="357"/>
      <c r="G228" s="357"/>
      <c r="H228" s="357"/>
      <c r="I228" s="357"/>
      <c r="J228" s="357"/>
    </row>
    <row r="229" spans="1:10">
      <c r="A229" s="162"/>
      <c r="B229" s="162"/>
      <c r="C229" s="357"/>
      <c r="D229" s="357"/>
      <c r="E229" s="357"/>
      <c r="F229" s="357"/>
      <c r="G229" s="357"/>
      <c r="H229" s="357"/>
      <c r="I229" s="357"/>
      <c r="J229" s="357"/>
    </row>
    <row r="230" spans="1:10">
      <c r="A230" s="162"/>
      <c r="B230" s="162"/>
      <c r="C230" s="357"/>
      <c r="D230" s="357"/>
      <c r="E230" s="357"/>
      <c r="F230" s="357"/>
      <c r="G230" s="357"/>
      <c r="H230" s="357"/>
      <c r="I230" s="357"/>
      <c r="J230" s="357"/>
    </row>
    <row r="231" spans="1:10">
      <c r="A231" s="162"/>
      <c r="B231" s="162"/>
      <c r="C231" s="357"/>
      <c r="D231" s="357"/>
      <c r="E231" s="357"/>
      <c r="F231" s="357"/>
      <c r="G231" s="357"/>
      <c r="H231" s="357"/>
      <c r="I231" s="357"/>
      <c r="J231" s="357"/>
    </row>
    <row r="232" spans="1:10">
      <c r="A232" s="162"/>
      <c r="B232" s="162"/>
      <c r="C232" s="357"/>
      <c r="D232" s="357"/>
      <c r="E232" s="357"/>
      <c r="F232" s="357"/>
      <c r="G232" s="357"/>
      <c r="H232" s="357"/>
      <c r="I232" s="357"/>
      <c r="J232" s="357"/>
    </row>
    <row r="233" spans="1:10">
      <c r="A233" s="162"/>
      <c r="B233" s="162"/>
      <c r="C233" s="357"/>
      <c r="D233" s="357"/>
      <c r="E233" s="357"/>
      <c r="F233" s="357"/>
      <c r="G233" s="357"/>
      <c r="H233" s="357"/>
      <c r="I233" s="357"/>
      <c r="J233" s="357"/>
    </row>
    <row r="234" spans="1:10">
      <c r="A234" s="162"/>
      <c r="B234" s="162"/>
      <c r="C234" s="357"/>
      <c r="D234" s="357"/>
      <c r="E234" s="357"/>
      <c r="F234" s="357"/>
      <c r="G234" s="357"/>
      <c r="H234" s="357"/>
      <c r="I234" s="357"/>
      <c r="J234" s="357"/>
    </row>
    <row r="235" spans="1:10">
      <c r="A235" s="162"/>
      <c r="B235" s="162"/>
      <c r="C235" s="357"/>
      <c r="D235" s="357"/>
      <c r="E235" s="357"/>
      <c r="F235" s="357"/>
      <c r="G235" s="357"/>
      <c r="H235" s="357"/>
      <c r="I235" s="357"/>
      <c r="J235" s="357"/>
    </row>
    <row r="236" spans="1:10">
      <c r="A236" s="162"/>
      <c r="B236" s="162"/>
      <c r="C236" s="357"/>
      <c r="D236" s="357"/>
      <c r="E236" s="357"/>
      <c r="F236" s="357"/>
      <c r="G236" s="357"/>
      <c r="H236" s="357"/>
      <c r="I236" s="357"/>
      <c r="J236" s="357"/>
    </row>
    <row r="237" spans="1:10">
      <c r="A237" s="162"/>
      <c r="B237" s="162"/>
      <c r="C237" s="357"/>
      <c r="D237" s="357"/>
      <c r="E237" s="357"/>
      <c r="F237" s="357"/>
      <c r="G237" s="357"/>
      <c r="H237" s="357"/>
      <c r="I237" s="357"/>
      <c r="J237" s="357"/>
    </row>
    <row r="238" spans="1:10">
      <c r="A238" s="162"/>
      <c r="B238" s="162"/>
      <c r="C238" s="357"/>
      <c r="D238" s="357"/>
      <c r="E238" s="357"/>
      <c r="F238" s="357"/>
      <c r="G238" s="357"/>
      <c r="H238" s="357"/>
      <c r="I238" s="357"/>
      <c r="J238" s="357"/>
    </row>
  </sheetData>
  <mergeCells count="1">
    <mergeCell ref="A1:J1"/>
  </mergeCells>
  <pageMargins left="0.70866141732283472" right="0.70866141732283472" top="0.74803149606299213" bottom="0.74803149606299213" header="0.31496062992125984" footer="0.31496062992125984"/>
  <pageSetup paperSize="9" scale="90" orientation="landscape" horizontalDpi="300" verticalDpi="3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43"/>
  <sheetViews>
    <sheetView showGridLines="0" topLeftCell="A7" zoomScale="130" zoomScaleNormal="130" workbookViewId="0"/>
  </sheetViews>
  <sheetFormatPr baseColWidth="10" defaultRowHeight="12.75"/>
  <cols>
    <col min="1" max="1" width="30.7109375" style="9" customWidth="1"/>
    <col min="2" max="2" width="7.5703125" style="9" customWidth="1"/>
    <col min="3" max="3" width="14.42578125" style="9" customWidth="1"/>
    <col min="4" max="4" width="13.140625" style="9" customWidth="1"/>
    <col min="5" max="5" width="10.42578125" style="9" customWidth="1"/>
    <col min="6" max="6" width="11.42578125" style="9" customWidth="1"/>
    <col min="7" max="7" width="9.7109375" style="9" customWidth="1"/>
    <col min="8" max="8" width="10.7109375" style="9" customWidth="1"/>
    <col min="9" max="10" width="11.42578125" style="9"/>
    <col min="11" max="11" width="14.85546875" style="9" customWidth="1"/>
    <col min="12" max="256" width="11.42578125" style="9"/>
    <col min="257" max="257" width="30.7109375" style="9" customWidth="1"/>
    <col min="258" max="258" width="7.5703125" style="9" customWidth="1"/>
    <col min="259" max="259" width="10.7109375" style="9" customWidth="1"/>
    <col min="260" max="260" width="11.28515625" style="9" customWidth="1"/>
    <col min="261" max="261" width="10.42578125" style="9" customWidth="1"/>
    <col min="262" max="262" width="11.42578125" style="9" customWidth="1"/>
    <col min="263" max="263" width="9.7109375" style="9" customWidth="1"/>
    <col min="264" max="264" width="10.7109375" style="9" customWidth="1"/>
    <col min="265" max="266" width="11.42578125" style="9"/>
    <col min="267" max="267" width="14.85546875" style="9" customWidth="1"/>
    <col min="268" max="512" width="11.42578125" style="9"/>
    <col min="513" max="513" width="30.7109375" style="9" customWidth="1"/>
    <col min="514" max="514" width="7.5703125" style="9" customWidth="1"/>
    <col min="515" max="515" width="10.7109375" style="9" customWidth="1"/>
    <col min="516" max="516" width="11.28515625" style="9" customWidth="1"/>
    <col min="517" max="517" width="10.42578125" style="9" customWidth="1"/>
    <col min="518" max="518" width="11.42578125" style="9" customWidth="1"/>
    <col min="519" max="519" width="9.7109375" style="9" customWidth="1"/>
    <col min="520" max="520" width="10.7109375" style="9" customWidth="1"/>
    <col min="521" max="522" width="11.42578125" style="9"/>
    <col min="523" max="523" width="14.85546875" style="9" customWidth="1"/>
    <col min="524" max="768" width="11.42578125" style="9"/>
    <col min="769" max="769" width="30.7109375" style="9" customWidth="1"/>
    <col min="770" max="770" width="7.5703125" style="9" customWidth="1"/>
    <col min="771" max="771" width="10.7109375" style="9" customWidth="1"/>
    <col min="772" max="772" width="11.28515625" style="9" customWidth="1"/>
    <col min="773" max="773" width="10.42578125" style="9" customWidth="1"/>
    <col min="774" max="774" width="11.42578125" style="9" customWidth="1"/>
    <col min="775" max="775" width="9.7109375" style="9" customWidth="1"/>
    <col min="776" max="776" width="10.7109375" style="9" customWidth="1"/>
    <col min="777" max="778" width="11.42578125" style="9"/>
    <col min="779" max="779" width="14.85546875" style="9" customWidth="1"/>
    <col min="780" max="1024" width="11.42578125" style="9"/>
    <col min="1025" max="1025" width="30.7109375" style="9" customWidth="1"/>
    <col min="1026" max="1026" width="7.5703125" style="9" customWidth="1"/>
    <col min="1027" max="1027" width="10.7109375" style="9" customWidth="1"/>
    <col min="1028" max="1028" width="11.28515625" style="9" customWidth="1"/>
    <col min="1029" max="1029" width="10.42578125" style="9" customWidth="1"/>
    <col min="1030" max="1030" width="11.42578125" style="9" customWidth="1"/>
    <col min="1031" max="1031" width="9.7109375" style="9" customWidth="1"/>
    <col min="1032" max="1032" width="10.7109375" style="9" customWidth="1"/>
    <col min="1033" max="1034" width="11.42578125" style="9"/>
    <col min="1035" max="1035" width="14.85546875" style="9" customWidth="1"/>
    <col min="1036" max="1280" width="11.42578125" style="9"/>
    <col min="1281" max="1281" width="30.7109375" style="9" customWidth="1"/>
    <col min="1282" max="1282" width="7.5703125" style="9" customWidth="1"/>
    <col min="1283" max="1283" width="10.7109375" style="9" customWidth="1"/>
    <col min="1284" max="1284" width="11.28515625" style="9" customWidth="1"/>
    <col min="1285" max="1285" width="10.42578125" style="9" customWidth="1"/>
    <col min="1286" max="1286" width="11.42578125" style="9" customWidth="1"/>
    <col min="1287" max="1287" width="9.7109375" style="9" customWidth="1"/>
    <col min="1288" max="1288" width="10.7109375" style="9" customWidth="1"/>
    <col min="1289" max="1290" width="11.42578125" style="9"/>
    <col min="1291" max="1291" width="14.85546875" style="9" customWidth="1"/>
    <col min="1292" max="1536" width="11.42578125" style="9"/>
    <col min="1537" max="1537" width="30.7109375" style="9" customWidth="1"/>
    <col min="1538" max="1538" width="7.5703125" style="9" customWidth="1"/>
    <col min="1539" max="1539" width="10.7109375" style="9" customWidth="1"/>
    <col min="1540" max="1540" width="11.28515625" style="9" customWidth="1"/>
    <col min="1541" max="1541" width="10.42578125" style="9" customWidth="1"/>
    <col min="1542" max="1542" width="11.42578125" style="9" customWidth="1"/>
    <col min="1543" max="1543" width="9.7109375" style="9" customWidth="1"/>
    <col min="1544" max="1544" width="10.7109375" style="9" customWidth="1"/>
    <col min="1545" max="1546" width="11.42578125" style="9"/>
    <col min="1547" max="1547" width="14.85546875" style="9" customWidth="1"/>
    <col min="1548" max="1792" width="11.42578125" style="9"/>
    <col min="1793" max="1793" width="30.7109375" style="9" customWidth="1"/>
    <col min="1794" max="1794" width="7.5703125" style="9" customWidth="1"/>
    <col min="1795" max="1795" width="10.7109375" style="9" customWidth="1"/>
    <col min="1796" max="1796" width="11.28515625" style="9" customWidth="1"/>
    <col min="1797" max="1797" width="10.42578125" style="9" customWidth="1"/>
    <col min="1798" max="1798" width="11.42578125" style="9" customWidth="1"/>
    <col min="1799" max="1799" width="9.7109375" style="9" customWidth="1"/>
    <col min="1800" max="1800" width="10.7109375" style="9" customWidth="1"/>
    <col min="1801" max="1802" width="11.42578125" style="9"/>
    <col min="1803" max="1803" width="14.85546875" style="9" customWidth="1"/>
    <col min="1804" max="2048" width="11.42578125" style="9"/>
    <col min="2049" max="2049" width="30.7109375" style="9" customWidth="1"/>
    <col min="2050" max="2050" width="7.5703125" style="9" customWidth="1"/>
    <col min="2051" max="2051" width="10.7109375" style="9" customWidth="1"/>
    <col min="2052" max="2052" width="11.28515625" style="9" customWidth="1"/>
    <col min="2053" max="2053" width="10.42578125" style="9" customWidth="1"/>
    <col min="2054" max="2054" width="11.42578125" style="9" customWidth="1"/>
    <col min="2055" max="2055" width="9.7109375" style="9" customWidth="1"/>
    <col min="2056" max="2056" width="10.7109375" style="9" customWidth="1"/>
    <col min="2057" max="2058" width="11.42578125" style="9"/>
    <col min="2059" max="2059" width="14.85546875" style="9" customWidth="1"/>
    <col min="2060" max="2304" width="11.42578125" style="9"/>
    <col min="2305" max="2305" width="30.7109375" style="9" customWidth="1"/>
    <col min="2306" max="2306" width="7.5703125" style="9" customWidth="1"/>
    <col min="2307" max="2307" width="10.7109375" style="9" customWidth="1"/>
    <col min="2308" max="2308" width="11.28515625" style="9" customWidth="1"/>
    <col min="2309" max="2309" width="10.42578125" style="9" customWidth="1"/>
    <col min="2310" max="2310" width="11.42578125" style="9" customWidth="1"/>
    <col min="2311" max="2311" width="9.7109375" style="9" customWidth="1"/>
    <col min="2312" max="2312" width="10.7109375" style="9" customWidth="1"/>
    <col min="2313" max="2314" width="11.42578125" style="9"/>
    <col min="2315" max="2315" width="14.85546875" style="9" customWidth="1"/>
    <col min="2316" max="2560" width="11.42578125" style="9"/>
    <col min="2561" max="2561" width="30.7109375" style="9" customWidth="1"/>
    <col min="2562" max="2562" width="7.5703125" style="9" customWidth="1"/>
    <col min="2563" max="2563" width="10.7109375" style="9" customWidth="1"/>
    <col min="2564" max="2564" width="11.28515625" style="9" customWidth="1"/>
    <col min="2565" max="2565" width="10.42578125" style="9" customWidth="1"/>
    <col min="2566" max="2566" width="11.42578125" style="9" customWidth="1"/>
    <col min="2567" max="2567" width="9.7109375" style="9" customWidth="1"/>
    <col min="2568" max="2568" width="10.7109375" style="9" customWidth="1"/>
    <col min="2569" max="2570" width="11.42578125" style="9"/>
    <col min="2571" max="2571" width="14.85546875" style="9" customWidth="1"/>
    <col min="2572" max="2816" width="11.42578125" style="9"/>
    <col min="2817" max="2817" width="30.7109375" style="9" customWidth="1"/>
    <col min="2818" max="2818" width="7.5703125" style="9" customWidth="1"/>
    <col min="2819" max="2819" width="10.7109375" style="9" customWidth="1"/>
    <col min="2820" max="2820" width="11.28515625" style="9" customWidth="1"/>
    <col min="2821" max="2821" width="10.42578125" style="9" customWidth="1"/>
    <col min="2822" max="2822" width="11.42578125" style="9" customWidth="1"/>
    <col min="2823" max="2823" width="9.7109375" style="9" customWidth="1"/>
    <col min="2824" max="2824" width="10.7109375" style="9" customWidth="1"/>
    <col min="2825" max="2826" width="11.42578125" style="9"/>
    <col min="2827" max="2827" width="14.85546875" style="9" customWidth="1"/>
    <col min="2828" max="3072" width="11.42578125" style="9"/>
    <col min="3073" max="3073" width="30.7109375" style="9" customWidth="1"/>
    <col min="3074" max="3074" width="7.5703125" style="9" customWidth="1"/>
    <col min="3075" max="3075" width="10.7109375" style="9" customWidth="1"/>
    <col min="3076" max="3076" width="11.28515625" style="9" customWidth="1"/>
    <col min="3077" max="3077" width="10.42578125" style="9" customWidth="1"/>
    <col min="3078" max="3078" width="11.42578125" style="9" customWidth="1"/>
    <col min="3079" max="3079" width="9.7109375" style="9" customWidth="1"/>
    <col min="3080" max="3080" width="10.7109375" style="9" customWidth="1"/>
    <col min="3081" max="3082" width="11.42578125" style="9"/>
    <col min="3083" max="3083" width="14.85546875" style="9" customWidth="1"/>
    <col min="3084" max="3328" width="11.42578125" style="9"/>
    <col min="3329" max="3329" width="30.7109375" style="9" customWidth="1"/>
    <col min="3330" max="3330" width="7.5703125" style="9" customWidth="1"/>
    <col min="3331" max="3331" width="10.7109375" style="9" customWidth="1"/>
    <col min="3332" max="3332" width="11.28515625" style="9" customWidth="1"/>
    <col min="3333" max="3333" width="10.42578125" style="9" customWidth="1"/>
    <col min="3334" max="3334" width="11.42578125" style="9" customWidth="1"/>
    <col min="3335" max="3335" width="9.7109375" style="9" customWidth="1"/>
    <col min="3336" max="3336" width="10.7109375" style="9" customWidth="1"/>
    <col min="3337" max="3338" width="11.42578125" style="9"/>
    <col min="3339" max="3339" width="14.85546875" style="9" customWidth="1"/>
    <col min="3340" max="3584" width="11.42578125" style="9"/>
    <col min="3585" max="3585" width="30.7109375" style="9" customWidth="1"/>
    <col min="3586" max="3586" width="7.5703125" style="9" customWidth="1"/>
    <col min="3587" max="3587" width="10.7109375" style="9" customWidth="1"/>
    <col min="3588" max="3588" width="11.28515625" style="9" customWidth="1"/>
    <col min="3589" max="3589" width="10.42578125" style="9" customWidth="1"/>
    <col min="3590" max="3590" width="11.42578125" style="9" customWidth="1"/>
    <col min="3591" max="3591" width="9.7109375" style="9" customWidth="1"/>
    <col min="3592" max="3592" width="10.7109375" style="9" customWidth="1"/>
    <col min="3593" max="3594" width="11.42578125" style="9"/>
    <col min="3595" max="3595" width="14.85546875" style="9" customWidth="1"/>
    <col min="3596" max="3840" width="11.42578125" style="9"/>
    <col min="3841" max="3841" width="30.7109375" style="9" customWidth="1"/>
    <col min="3842" max="3842" width="7.5703125" style="9" customWidth="1"/>
    <col min="3843" max="3843" width="10.7109375" style="9" customWidth="1"/>
    <col min="3844" max="3844" width="11.28515625" style="9" customWidth="1"/>
    <col min="3845" max="3845" width="10.42578125" style="9" customWidth="1"/>
    <col min="3846" max="3846" width="11.42578125" style="9" customWidth="1"/>
    <col min="3847" max="3847" width="9.7109375" style="9" customWidth="1"/>
    <col min="3848" max="3848" width="10.7109375" style="9" customWidth="1"/>
    <col min="3849" max="3850" width="11.42578125" style="9"/>
    <col min="3851" max="3851" width="14.85546875" style="9" customWidth="1"/>
    <col min="3852" max="4096" width="11.42578125" style="9"/>
    <col min="4097" max="4097" width="30.7109375" style="9" customWidth="1"/>
    <col min="4098" max="4098" width="7.5703125" style="9" customWidth="1"/>
    <col min="4099" max="4099" width="10.7109375" style="9" customWidth="1"/>
    <col min="4100" max="4100" width="11.28515625" style="9" customWidth="1"/>
    <col min="4101" max="4101" width="10.42578125" style="9" customWidth="1"/>
    <col min="4102" max="4102" width="11.42578125" style="9" customWidth="1"/>
    <col min="4103" max="4103" width="9.7109375" style="9" customWidth="1"/>
    <col min="4104" max="4104" width="10.7109375" style="9" customWidth="1"/>
    <col min="4105" max="4106" width="11.42578125" style="9"/>
    <col min="4107" max="4107" width="14.85546875" style="9" customWidth="1"/>
    <col min="4108" max="4352" width="11.42578125" style="9"/>
    <col min="4353" max="4353" width="30.7109375" style="9" customWidth="1"/>
    <col min="4354" max="4354" width="7.5703125" style="9" customWidth="1"/>
    <col min="4355" max="4355" width="10.7109375" style="9" customWidth="1"/>
    <col min="4356" max="4356" width="11.28515625" style="9" customWidth="1"/>
    <col min="4357" max="4357" width="10.42578125" style="9" customWidth="1"/>
    <col min="4358" max="4358" width="11.42578125" style="9" customWidth="1"/>
    <col min="4359" max="4359" width="9.7109375" style="9" customWidth="1"/>
    <col min="4360" max="4360" width="10.7109375" style="9" customWidth="1"/>
    <col min="4361" max="4362" width="11.42578125" style="9"/>
    <col min="4363" max="4363" width="14.85546875" style="9" customWidth="1"/>
    <col min="4364" max="4608" width="11.42578125" style="9"/>
    <col min="4609" max="4609" width="30.7109375" style="9" customWidth="1"/>
    <col min="4610" max="4610" width="7.5703125" style="9" customWidth="1"/>
    <col min="4611" max="4611" width="10.7109375" style="9" customWidth="1"/>
    <col min="4612" max="4612" width="11.28515625" style="9" customWidth="1"/>
    <col min="4613" max="4613" width="10.42578125" style="9" customWidth="1"/>
    <col min="4614" max="4614" width="11.42578125" style="9" customWidth="1"/>
    <col min="4615" max="4615" width="9.7109375" style="9" customWidth="1"/>
    <col min="4616" max="4616" width="10.7109375" style="9" customWidth="1"/>
    <col min="4617" max="4618" width="11.42578125" style="9"/>
    <col min="4619" max="4619" width="14.85546875" style="9" customWidth="1"/>
    <col min="4620" max="4864" width="11.42578125" style="9"/>
    <col min="4865" max="4865" width="30.7109375" style="9" customWidth="1"/>
    <col min="4866" max="4866" width="7.5703125" style="9" customWidth="1"/>
    <col min="4867" max="4867" width="10.7109375" style="9" customWidth="1"/>
    <col min="4868" max="4868" width="11.28515625" style="9" customWidth="1"/>
    <col min="4869" max="4869" width="10.42578125" style="9" customWidth="1"/>
    <col min="4870" max="4870" width="11.42578125" style="9" customWidth="1"/>
    <col min="4871" max="4871" width="9.7109375" style="9" customWidth="1"/>
    <col min="4872" max="4872" width="10.7109375" style="9" customWidth="1"/>
    <col min="4873" max="4874" width="11.42578125" style="9"/>
    <col min="4875" max="4875" width="14.85546875" style="9" customWidth="1"/>
    <col min="4876" max="5120" width="11.42578125" style="9"/>
    <col min="5121" max="5121" width="30.7109375" style="9" customWidth="1"/>
    <col min="5122" max="5122" width="7.5703125" style="9" customWidth="1"/>
    <col min="5123" max="5123" width="10.7109375" style="9" customWidth="1"/>
    <col min="5124" max="5124" width="11.28515625" style="9" customWidth="1"/>
    <col min="5125" max="5125" width="10.42578125" style="9" customWidth="1"/>
    <col min="5126" max="5126" width="11.42578125" style="9" customWidth="1"/>
    <col min="5127" max="5127" width="9.7109375" style="9" customWidth="1"/>
    <col min="5128" max="5128" width="10.7109375" style="9" customWidth="1"/>
    <col min="5129" max="5130" width="11.42578125" style="9"/>
    <col min="5131" max="5131" width="14.85546875" style="9" customWidth="1"/>
    <col min="5132" max="5376" width="11.42578125" style="9"/>
    <col min="5377" max="5377" width="30.7109375" style="9" customWidth="1"/>
    <col min="5378" max="5378" width="7.5703125" style="9" customWidth="1"/>
    <col min="5379" max="5379" width="10.7109375" style="9" customWidth="1"/>
    <col min="5380" max="5380" width="11.28515625" style="9" customWidth="1"/>
    <col min="5381" max="5381" width="10.42578125" style="9" customWidth="1"/>
    <col min="5382" max="5382" width="11.42578125" style="9" customWidth="1"/>
    <col min="5383" max="5383" width="9.7109375" style="9" customWidth="1"/>
    <col min="5384" max="5384" width="10.7109375" style="9" customWidth="1"/>
    <col min="5385" max="5386" width="11.42578125" style="9"/>
    <col min="5387" max="5387" width="14.85546875" style="9" customWidth="1"/>
    <col min="5388" max="5632" width="11.42578125" style="9"/>
    <col min="5633" max="5633" width="30.7109375" style="9" customWidth="1"/>
    <col min="5634" max="5634" width="7.5703125" style="9" customWidth="1"/>
    <col min="5635" max="5635" width="10.7109375" style="9" customWidth="1"/>
    <col min="5636" max="5636" width="11.28515625" style="9" customWidth="1"/>
    <col min="5637" max="5637" width="10.42578125" style="9" customWidth="1"/>
    <col min="5638" max="5638" width="11.42578125" style="9" customWidth="1"/>
    <col min="5639" max="5639" width="9.7109375" style="9" customWidth="1"/>
    <col min="5640" max="5640" width="10.7109375" style="9" customWidth="1"/>
    <col min="5641" max="5642" width="11.42578125" style="9"/>
    <col min="5643" max="5643" width="14.85546875" style="9" customWidth="1"/>
    <col min="5644" max="5888" width="11.42578125" style="9"/>
    <col min="5889" max="5889" width="30.7109375" style="9" customWidth="1"/>
    <col min="5890" max="5890" width="7.5703125" style="9" customWidth="1"/>
    <col min="5891" max="5891" width="10.7109375" style="9" customWidth="1"/>
    <col min="5892" max="5892" width="11.28515625" style="9" customWidth="1"/>
    <col min="5893" max="5893" width="10.42578125" style="9" customWidth="1"/>
    <col min="5894" max="5894" width="11.42578125" style="9" customWidth="1"/>
    <col min="5895" max="5895" width="9.7109375" style="9" customWidth="1"/>
    <col min="5896" max="5896" width="10.7109375" style="9" customWidth="1"/>
    <col min="5897" max="5898" width="11.42578125" style="9"/>
    <col min="5899" max="5899" width="14.85546875" style="9" customWidth="1"/>
    <col min="5900" max="6144" width="11.42578125" style="9"/>
    <col min="6145" max="6145" width="30.7109375" style="9" customWidth="1"/>
    <col min="6146" max="6146" width="7.5703125" style="9" customWidth="1"/>
    <col min="6147" max="6147" width="10.7109375" style="9" customWidth="1"/>
    <col min="6148" max="6148" width="11.28515625" style="9" customWidth="1"/>
    <col min="6149" max="6149" width="10.42578125" style="9" customWidth="1"/>
    <col min="6150" max="6150" width="11.42578125" style="9" customWidth="1"/>
    <col min="6151" max="6151" width="9.7109375" style="9" customWidth="1"/>
    <col min="6152" max="6152" width="10.7109375" style="9" customWidth="1"/>
    <col min="6153" max="6154" width="11.42578125" style="9"/>
    <col min="6155" max="6155" width="14.85546875" style="9" customWidth="1"/>
    <col min="6156" max="6400" width="11.42578125" style="9"/>
    <col min="6401" max="6401" width="30.7109375" style="9" customWidth="1"/>
    <col min="6402" max="6402" width="7.5703125" style="9" customWidth="1"/>
    <col min="6403" max="6403" width="10.7109375" style="9" customWidth="1"/>
    <col min="6404" max="6404" width="11.28515625" style="9" customWidth="1"/>
    <col min="6405" max="6405" width="10.42578125" style="9" customWidth="1"/>
    <col min="6406" max="6406" width="11.42578125" style="9" customWidth="1"/>
    <col min="6407" max="6407" width="9.7109375" style="9" customWidth="1"/>
    <col min="6408" max="6408" width="10.7109375" style="9" customWidth="1"/>
    <col min="6409" max="6410" width="11.42578125" style="9"/>
    <col min="6411" max="6411" width="14.85546875" style="9" customWidth="1"/>
    <col min="6412" max="6656" width="11.42578125" style="9"/>
    <col min="6657" max="6657" width="30.7109375" style="9" customWidth="1"/>
    <col min="6658" max="6658" width="7.5703125" style="9" customWidth="1"/>
    <col min="6659" max="6659" width="10.7109375" style="9" customWidth="1"/>
    <col min="6660" max="6660" width="11.28515625" style="9" customWidth="1"/>
    <col min="6661" max="6661" width="10.42578125" style="9" customWidth="1"/>
    <col min="6662" max="6662" width="11.42578125" style="9" customWidth="1"/>
    <col min="6663" max="6663" width="9.7109375" style="9" customWidth="1"/>
    <col min="6664" max="6664" width="10.7109375" style="9" customWidth="1"/>
    <col min="6665" max="6666" width="11.42578125" style="9"/>
    <col min="6667" max="6667" width="14.85546875" style="9" customWidth="1"/>
    <col min="6668" max="6912" width="11.42578125" style="9"/>
    <col min="6913" max="6913" width="30.7109375" style="9" customWidth="1"/>
    <col min="6914" max="6914" width="7.5703125" style="9" customWidth="1"/>
    <col min="6915" max="6915" width="10.7109375" style="9" customWidth="1"/>
    <col min="6916" max="6916" width="11.28515625" style="9" customWidth="1"/>
    <col min="6917" max="6917" width="10.42578125" style="9" customWidth="1"/>
    <col min="6918" max="6918" width="11.42578125" style="9" customWidth="1"/>
    <col min="6919" max="6919" width="9.7109375" style="9" customWidth="1"/>
    <col min="6920" max="6920" width="10.7109375" style="9" customWidth="1"/>
    <col min="6921" max="6922" width="11.42578125" style="9"/>
    <col min="6923" max="6923" width="14.85546875" style="9" customWidth="1"/>
    <col min="6924" max="7168" width="11.42578125" style="9"/>
    <col min="7169" max="7169" width="30.7109375" style="9" customWidth="1"/>
    <col min="7170" max="7170" width="7.5703125" style="9" customWidth="1"/>
    <col min="7171" max="7171" width="10.7109375" style="9" customWidth="1"/>
    <col min="7172" max="7172" width="11.28515625" style="9" customWidth="1"/>
    <col min="7173" max="7173" width="10.42578125" style="9" customWidth="1"/>
    <col min="7174" max="7174" width="11.42578125" style="9" customWidth="1"/>
    <col min="7175" max="7175" width="9.7109375" style="9" customWidth="1"/>
    <col min="7176" max="7176" width="10.7109375" style="9" customWidth="1"/>
    <col min="7177" max="7178" width="11.42578125" style="9"/>
    <col min="7179" max="7179" width="14.85546875" style="9" customWidth="1"/>
    <col min="7180" max="7424" width="11.42578125" style="9"/>
    <col min="7425" max="7425" width="30.7109375" style="9" customWidth="1"/>
    <col min="7426" max="7426" width="7.5703125" style="9" customWidth="1"/>
    <col min="7427" max="7427" width="10.7109375" style="9" customWidth="1"/>
    <col min="7428" max="7428" width="11.28515625" style="9" customWidth="1"/>
    <col min="7429" max="7429" width="10.42578125" style="9" customWidth="1"/>
    <col min="7430" max="7430" width="11.42578125" style="9" customWidth="1"/>
    <col min="7431" max="7431" width="9.7109375" style="9" customWidth="1"/>
    <col min="7432" max="7432" width="10.7109375" style="9" customWidth="1"/>
    <col min="7433" max="7434" width="11.42578125" style="9"/>
    <col min="7435" max="7435" width="14.85546875" style="9" customWidth="1"/>
    <col min="7436" max="7680" width="11.42578125" style="9"/>
    <col min="7681" max="7681" width="30.7109375" style="9" customWidth="1"/>
    <col min="7682" max="7682" width="7.5703125" style="9" customWidth="1"/>
    <col min="7683" max="7683" width="10.7109375" style="9" customWidth="1"/>
    <col min="7684" max="7684" width="11.28515625" style="9" customWidth="1"/>
    <col min="7685" max="7685" width="10.42578125" style="9" customWidth="1"/>
    <col min="7686" max="7686" width="11.42578125" style="9" customWidth="1"/>
    <col min="7687" max="7687" width="9.7109375" style="9" customWidth="1"/>
    <col min="7688" max="7688" width="10.7109375" style="9" customWidth="1"/>
    <col min="7689" max="7690" width="11.42578125" style="9"/>
    <col min="7691" max="7691" width="14.85546875" style="9" customWidth="1"/>
    <col min="7692" max="7936" width="11.42578125" style="9"/>
    <col min="7937" max="7937" width="30.7109375" style="9" customWidth="1"/>
    <col min="7938" max="7938" width="7.5703125" style="9" customWidth="1"/>
    <col min="7939" max="7939" width="10.7109375" style="9" customWidth="1"/>
    <col min="7940" max="7940" width="11.28515625" style="9" customWidth="1"/>
    <col min="7941" max="7941" width="10.42578125" style="9" customWidth="1"/>
    <col min="7942" max="7942" width="11.42578125" style="9" customWidth="1"/>
    <col min="7943" max="7943" width="9.7109375" style="9" customWidth="1"/>
    <col min="7944" max="7944" width="10.7109375" style="9" customWidth="1"/>
    <col min="7945" max="7946" width="11.42578125" style="9"/>
    <col min="7947" max="7947" width="14.85546875" style="9" customWidth="1"/>
    <col min="7948" max="8192" width="11.42578125" style="9"/>
    <col min="8193" max="8193" width="30.7109375" style="9" customWidth="1"/>
    <col min="8194" max="8194" width="7.5703125" style="9" customWidth="1"/>
    <col min="8195" max="8195" width="10.7109375" style="9" customWidth="1"/>
    <col min="8196" max="8196" width="11.28515625" style="9" customWidth="1"/>
    <col min="8197" max="8197" width="10.42578125" style="9" customWidth="1"/>
    <col min="8198" max="8198" width="11.42578125" style="9" customWidth="1"/>
    <col min="8199" max="8199" width="9.7109375" style="9" customWidth="1"/>
    <col min="8200" max="8200" width="10.7109375" style="9" customWidth="1"/>
    <col min="8201" max="8202" width="11.42578125" style="9"/>
    <col min="8203" max="8203" width="14.85546875" style="9" customWidth="1"/>
    <col min="8204" max="8448" width="11.42578125" style="9"/>
    <col min="8449" max="8449" width="30.7109375" style="9" customWidth="1"/>
    <col min="8450" max="8450" width="7.5703125" style="9" customWidth="1"/>
    <col min="8451" max="8451" width="10.7109375" style="9" customWidth="1"/>
    <col min="8452" max="8452" width="11.28515625" style="9" customWidth="1"/>
    <col min="8453" max="8453" width="10.42578125" style="9" customWidth="1"/>
    <col min="8454" max="8454" width="11.42578125" style="9" customWidth="1"/>
    <col min="8455" max="8455" width="9.7109375" style="9" customWidth="1"/>
    <col min="8456" max="8456" width="10.7109375" style="9" customWidth="1"/>
    <col min="8457" max="8458" width="11.42578125" style="9"/>
    <col min="8459" max="8459" width="14.85546875" style="9" customWidth="1"/>
    <col min="8460" max="8704" width="11.42578125" style="9"/>
    <col min="8705" max="8705" width="30.7109375" style="9" customWidth="1"/>
    <col min="8706" max="8706" width="7.5703125" style="9" customWidth="1"/>
    <col min="8707" max="8707" width="10.7109375" style="9" customWidth="1"/>
    <col min="8708" max="8708" width="11.28515625" style="9" customWidth="1"/>
    <col min="8709" max="8709" width="10.42578125" style="9" customWidth="1"/>
    <col min="8710" max="8710" width="11.42578125" style="9" customWidth="1"/>
    <col min="8711" max="8711" width="9.7109375" style="9" customWidth="1"/>
    <col min="8712" max="8712" width="10.7109375" style="9" customWidth="1"/>
    <col min="8713" max="8714" width="11.42578125" style="9"/>
    <col min="8715" max="8715" width="14.85546875" style="9" customWidth="1"/>
    <col min="8716" max="8960" width="11.42578125" style="9"/>
    <col min="8961" max="8961" width="30.7109375" style="9" customWidth="1"/>
    <col min="8962" max="8962" width="7.5703125" style="9" customWidth="1"/>
    <col min="8963" max="8963" width="10.7109375" style="9" customWidth="1"/>
    <col min="8964" max="8964" width="11.28515625" style="9" customWidth="1"/>
    <col min="8965" max="8965" width="10.42578125" style="9" customWidth="1"/>
    <col min="8966" max="8966" width="11.42578125" style="9" customWidth="1"/>
    <col min="8967" max="8967" width="9.7109375" style="9" customWidth="1"/>
    <col min="8968" max="8968" width="10.7109375" style="9" customWidth="1"/>
    <col min="8969" max="8970" width="11.42578125" style="9"/>
    <col min="8971" max="8971" width="14.85546875" style="9" customWidth="1"/>
    <col min="8972" max="9216" width="11.42578125" style="9"/>
    <col min="9217" max="9217" width="30.7109375" style="9" customWidth="1"/>
    <col min="9218" max="9218" width="7.5703125" style="9" customWidth="1"/>
    <col min="9219" max="9219" width="10.7109375" style="9" customWidth="1"/>
    <col min="9220" max="9220" width="11.28515625" style="9" customWidth="1"/>
    <col min="9221" max="9221" width="10.42578125" style="9" customWidth="1"/>
    <col min="9222" max="9222" width="11.42578125" style="9" customWidth="1"/>
    <col min="9223" max="9223" width="9.7109375" style="9" customWidth="1"/>
    <col min="9224" max="9224" width="10.7109375" style="9" customWidth="1"/>
    <col min="9225" max="9226" width="11.42578125" style="9"/>
    <col min="9227" max="9227" width="14.85546875" style="9" customWidth="1"/>
    <col min="9228" max="9472" width="11.42578125" style="9"/>
    <col min="9473" max="9473" width="30.7109375" style="9" customWidth="1"/>
    <col min="9474" max="9474" width="7.5703125" style="9" customWidth="1"/>
    <col min="9475" max="9475" width="10.7109375" style="9" customWidth="1"/>
    <col min="9476" max="9476" width="11.28515625" style="9" customWidth="1"/>
    <col min="9477" max="9477" width="10.42578125" style="9" customWidth="1"/>
    <col min="9478" max="9478" width="11.42578125" style="9" customWidth="1"/>
    <col min="9479" max="9479" width="9.7109375" style="9" customWidth="1"/>
    <col min="9480" max="9480" width="10.7109375" style="9" customWidth="1"/>
    <col min="9481" max="9482" width="11.42578125" style="9"/>
    <col min="9483" max="9483" width="14.85546875" style="9" customWidth="1"/>
    <col min="9484" max="9728" width="11.42578125" style="9"/>
    <col min="9729" max="9729" width="30.7109375" style="9" customWidth="1"/>
    <col min="9730" max="9730" width="7.5703125" style="9" customWidth="1"/>
    <col min="9731" max="9731" width="10.7109375" style="9" customWidth="1"/>
    <col min="9732" max="9732" width="11.28515625" style="9" customWidth="1"/>
    <col min="9733" max="9733" width="10.42578125" style="9" customWidth="1"/>
    <col min="9734" max="9734" width="11.42578125" style="9" customWidth="1"/>
    <col min="9735" max="9735" width="9.7109375" style="9" customWidth="1"/>
    <col min="9736" max="9736" width="10.7109375" style="9" customWidth="1"/>
    <col min="9737" max="9738" width="11.42578125" style="9"/>
    <col min="9739" max="9739" width="14.85546875" style="9" customWidth="1"/>
    <col min="9740" max="9984" width="11.42578125" style="9"/>
    <col min="9985" max="9985" width="30.7109375" style="9" customWidth="1"/>
    <col min="9986" max="9986" width="7.5703125" style="9" customWidth="1"/>
    <col min="9987" max="9987" width="10.7109375" style="9" customWidth="1"/>
    <col min="9988" max="9988" width="11.28515625" style="9" customWidth="1"/>
    <col min="9989" max="9989" width="10.42578125" style="9" customWidth="1"/>
    <col min="9990" max="9990" width="11.42578125" style="9" customWidth="1"/>
    <col min="9991" max="9991" width="9.7109375" style="9" customWidth="1"/>
    <col min="9992" max="9992" width="10.7109375" style="9" customWidth="1"/>
    <col min="9993" max="9994" width="11.42578125" style="9"/>
    <col min="9995" max="9995" width="14.85546875" style="9" customWidth="1"/>
    <col min="9996" max="10240" width="11.42578125" style="9"/>
    <col min="10241" max="10241" width="30.7109375" style="9" customWidth="1"/>
    <col min="10242" max="10242" width="7.5703125" style="9" customWidth="1"/>
    <col min="10243" max="10243" width="10.7109375" style="9" customWidth="1"/>
    <col min="10244" max="10244" width="11.28515625" style="9" customWidth="1"/>
    <col min="10245" max="10245" width="10.42578125" style="9" customWidth="1"/>
    <col min="10246" max="10246" width="11.42578125" style="9" customWidth="1"/>
    <col min="10247" max="10247" width="9.7109375" style="9" customWidth="1"/>
    <col min="10248" max="10248" width="10.7109375" style="9" customWidth="1"/>
    <col min="10249" max="10250" width="11.42578125" style="9"/>
    <col min="10251" max="10251" width="14.85546875" style="9" customWidth="1"/>
    <col min="10252" max="10496" width="11.42578125" style="9"/>
    <col min="10497" max="10497" width="30.7109375" style="9" customWidth="1"/>
    <col min="10498" max="10498" width="7.5703125" style="9" customWidth="1"/>
    <col min="10499" max="10499" width="10.7109375" style="9" customWidth="1"/>
    <col min="10500" max="10500" width="11.28515625" style="9" customWidth="1"/>
    <col min="10501" max="10501" width="10.42578125" style="9" customWidth="1"/>
    <col min="10502" max="10502" width="11.42578125" style="9" customWidth="1"/>
    <col min="10503" max="10503" width="9.7109375" style="9" customWidth="1"/>
    <col min="10504" max="10504" width="10.7109375" style="9" customWidth="1"/>
    <col min="10505" max="10506" width="11.42578125" style="9"/>
    <col min="10507" max="10507" width="14.85546875" style="9" customWidth="1"/>
    <col min="10508" max="10752" width="11.42578125" style="9"/>
    <col min="10753" max="10753" width="30.7109375" style="9" customWidth="1"/>
    <col min="10754" max="10754" width="7.5703125" style="9" customWidth="1"/>
    <col min="10755" max="10755" width="10.7109375" style="9" customWidth="1"/>
    <col min="10756" max="10756" width="11.28515625" style="9" customWidth="1"/>
    <col min="10757" max="10757" width="10.42578125" style="9" customWidth="1"/>
    <col min="10758" max="10758" width="11.42578125" style="9" customWidth="1"/>
    <col min="10759" max="10759" width="9.7109375" style="9" customWidth="1"/>
    <col min="10760" max="10760" width="10.7109375" style="9" customWidth="1"/>
    <col min="10761" max="10762" width="11.42578125" style="9"/>
    <col min="10763" max="10763" width="14.85546875" style="9" customWidth="1"/>
    <col min="10764" max="11008" width="11.42578125" style="9"/>
    <col min="11009" max="11009" width="30.7109375" style="9" customWidth="1"/>
    <col min="11010" max="11010" width="7.5703125" style="9" customWidth="1"/>
    <col min="11011" max="11011" width="10.7109375" style="9" customWidth="1"/>
    <col min="11012" max="11012" width="11.28515625" style="9" customWidth="1"/>
    <col min="11013" max="11013" width="10.42578125" style="9" customWidth="1"/>
    <col min="11014" max="11014" width="11.42578125" style="9" customWidth="1"/>
    <col min="11015" max="11015" width="9.7109375" style="9" customWidth="1"/>
    <col min="11016" max="11016" width="10.7109375" style="9" customWidth="1"/>
    <col min="11017" max="11018" width="11.42578125" style="9"/>
    <col min="11019" max="11019" width="14.85546875" style="9" customWidth="1"/>
    <col min="11020" max="11264" width="11.42578125" style="9"/>
    <col min="11265" max="11265" width="30.7109375" style="9" customWidth="1"/>
    <col min="11266" max="11266" width="7.5703125" style="9" customWidth="1"/>
    <col min="11267" max="11267" width="10.7109375" style="9" customWidth="1"/>
    <col min="11268" max="11268" width="11.28515625" style="9" customWidth="1"/>
    <col min="11269" max="11269" width="10.42578125" style="9" customWidth="1"/>
    <col min="11270" max="11270" width="11.42578125" style="9" customWidth="1"/>
    <col min="11271" max="11271" width="9.7109375" style="9" customWidth="1"/>
    <col min="11272" max="11272" width="10.7109375" style="9" customWidth="1"/>
    <col min="11273" max="11274" width="11.42578125" style="9"/>
    <col min="11275" max="11275" width="14.85546875" style="9" customWidth="1"/>
    <col min="11276" max="11520" width="11.42578125" style="9"/>
    <col min="11521" max="11521" width="30.7109375" style="9" customWidth="1"/>
    <col min="11522" max="11522" width="7.5703125" style="9" customWidth="1"/>
    <col min="11523" max="11523" width="10.7109375" style="9" customWidth="1"/>
    <col min="11524" max="11524" width="11.28515625" style="9" customWidth="1"/>
    <col min="11525" max="11525" width="10.42578125" style="9" customWidth="1"/>
    <col min="11526" max="11526" width="11.42578125" style="9" customWidth="1"/>
    <col min="11527" max="11527" width="9.7109375" style="9" customWidth="1"/>
    <col min="11528" max="11528" width="10.7109375" style="9" customWidth="1"/>
    <col min="11529" max="11530" width="11.42578125" style="9"/>
    <col min="11531" max="11531" width="14.85546875" style="9" customWidth="1"/>
    <col min="11532" max="11776" width="11.42578125" style="9"/>
    <col min="11777" max="11777" width="30.7109375" style="9" customWidth="1"/>
    <col min="11778" max="11778" width="7.5703125" style="9" customWidth="1"/>
    <col min="11779" max="11779" width="10.7109375" style="9" customWidth="1"/>
    <col min="11780" max="11780" width="11.28515625" style="9" customWidth="1"/>
    <col min="11781" max="11781" width="10.42578125" style="9" customWidth="1"/>
    <col min="11782" max="11782" width="11.42578125" style="9" customWidth="1"/>
    <col min="11783" max="11783" width="9.7109375" style="9" customWidth="1"/>
    <col min="11784" max="11784" width="10.7109375" style="9" customWidth="1"/>
    <col min="11785" max="11786" width="11.42578125" style="9"/>
    <col min="11787" max="11787" width="14.85546875" style="9" customWidth="1"/>
    <col min="11788" max="12032" width="11.42578125" style="9"/>
    <col min="12033" max="12033" width="30.7109375" style="9" customWidth="1"/>
    <col min="12034" max="12034" width="7.5703125" style="9" customWidth="1"/>
    <col min="12035" max="12035" width="10.7109375" style="9" customWidth="1"/>
    <col min="12036" max="12036" width="11.28515625" style="9" customWidth="1"/>
    <col min="12037" max="12037" width="10.42578125" style="9" customWidth="1"/>
    <col min="12038" max="12038" width="11.42578125" style="9" customWidth="1"/>
    <col min="12039" max="12039" width="9.7109375" style="9" customWidth="1"/>
    <col min="12040" max="12040" width="10.7109375" style="9" customWidth="1"/>
    <col min="12041" max="12042" width="11.42578125" style="9"/>
    <col min="12043" max="12043" width="14.85546875" style="9" customWidth="1"/>
    <col min="12044" max="12288" width="11.42578125" style="9"/>
    <col min="12289" max="12289" width="30.7109375" style="9" customWidth="1"/>
    <col min="12290" max="12290" width="7.5703125" style="9" customWidth="1"/>
    <col min="12291" max="12291" width="10.7109375" style="9" customWidth="1"/>
    <col min="12292" max="12292" width="11.28515625" style="9" customWidth="1"/>
    <col min="12293" max="12293" width="10.42578125" style="9" customWidth="1"/>
    <col min="12294" max="12294" width="11.42578125" style="9" customWidth="1"/>
    <col min="12295" max="12295" width="9.7109375" style="9" customWidth="1"/>
    <col min="12296" max="12296" width="10.7109375" style="9" customWidth="1"/>
    <col min="12297" max="12298" width="11.42578125" style="9"/>
    <col min="12299" max="12299" width="14.85546875" style="9" customWidth="1"/>
    <col min="12300" max="12544" width="11.42578125" style="9"/>
    <col min="12545" max="12545" width="30.7109375" style="9" customWidth="1"/>
    <col min="12546" max="12546" width="7.5703125" style="9" customWidth="1"/>
    <col min="12547" max="12547" width="10.7109375" style="9" customWidth="1"/>
    <col min="12548" max="12548" width="11.28515625" style="9" customWidth="1"/>
    <col min="12549" max="12549" width="10.42578125" style="9" customWidth="1"/>
    <col min="12550" max="12550" width="11.42578125" style="9" customWidth="1"/>
    <col min="12551" max="12551" width="9.7109375" style="9" customWidth="1"/>
    <col min="12552" max="12552" width="10.7109375" style="9" customWidth="1"/>
    <col min="12553" max="12554" width="11.42578125" style="9"/>
    <col min="12555" max="12555" width="14.85546875" style="9" customWidth="1"/>
    <col min="12556" max="12800" width="11.42578125" style="9"/>
    <col min="12801" max="12801" width="30.7109375" style="9" customWidth="1"/>
    <col min="12802" max="12802" width="7.5703125" style="9" customWidth="1"/>
    <col min="12803" max="12803" width="10.7109375" style="9" customWidth="1"/>
    <col min="12804" max="12804" width="11.28515625" style="9" customWidth="1"/>
    <col min="12805" max="12805" width="10.42578125" style="9" customWidth="1"/>
    <col min="12806" max="12806" width="11.42578125" style="9" customWidth="1"/>
    <col min="12807" max="12807" width="9.7109375" style="9" customWidth="1"/>
    <col min="12808" max="12808" width="10.7109375" style="9" customWidth="1"/>
    <col min="12809" max="12810" width="11.42578125" style="9"/>
    <col min="12811" max="12811" width="14.85546875" style="9" customWidth="1"/>
    <col min="12812" max="13056" width="11.42578125" style="9"/>
    <col min="13057" max="13057" width="30.7109375" style="9" customWidth="1"/>
    <col min="13058" max="13058" width="7.5703125" style="9" customWidth="1"/>
    <col min="13059" max="13059" width="10.7109375" style="9" customWidth="1"/>
    <col min="13060" max="13060" width="11.28515625" style="9" customWidth="1"/>
    <col min="13061" max="13061" width="10.42578125" style="9" customWidth="1"/>
    <col min="13062" max="13062" width="11.42578125" style="9" customWidth="1"/>
    <col min="13063" max="13063" width="9.7109375" style="9" customWidth="1"/>
    <col min="13064" max="13064" width="10.7109375" style="9" customWidth="1"/>
    <col min="13065" max="13066" width="11.42578125" style="9"/>
    <col min="13067" max="13067" width="14.85546875" style="9" customWidth="1"/>
    <col min="13068" max="13312" width="11.42578125" style="9"/>
    <col min="13313" max="13313" width="30.7109375" style="9" customWidth="1"/>
    <col min="13314" max="13314" width="7.5703125" style="9" customWidth="1"/>
    <col min="13315" max="13315" width="10.7109375" style="9" customWidth="1"/>
    <col min="13316" max="13316" width="11.28515625" style="9" customWidth="1"/>
    <col min="13317" max="13317" width="10.42578125" style="9" customWidth="1"/>
    <col min="13318" max="13318" width="11.42578125" style="9" customWidth="1"/>
    <col min="13319" max="13319" width="9.7109375" style="9" customWidth="1"/>
    <col min="13320" max="13320" width="10.7109375" style="9" customWidth="1"/>
    <col min="13321" max="13322" width="11.42578125" style="9"/>
    <col min="13323" max="13323" width="14.85546875" style="9" customWidth="1"/>
    <col min="13324" max="13568" width="11.42578125" style="9"/>
    <col min="13569" max="13569" width="30.7109375" style="9" customWidth="1"/>
    <col min="13570" max="13570" width="7.5703125" style="9" customWidth="1"/>
    <col min="13571" max="13571" width="10.7109375" style="9" customWidth="1"/>
    <col min="13572" max="13572" width="11.28515625" style="9" customWidth="1"/>
    <col min="13573" max="13573" width="10.42578125" style="9" customWidth="1"/>
    <col min="13574" max="13574" width="11.42578125" style="9" customWidth="1"/>
    <col min="13575" max="13575" width="9.7109375" style="9" customWidth="1"/>
    <col min="13576" max="13576" width="10.7109375" style="9" customWidth="1"/>
    <col min="13577" max="13578" width="11.42578125" style="9"/>
    <col min="13579" max="13579" width="14.85546875" style="9" customWidth="1"/>
    <col min="13580" max="13824" width="11.42578125" style="9"/>
    <col min="13825" max="13825" width="30.7109375" style="9" customWidth="1"/>
    <col min="13826" max="13826" width="7.5703125" style="9" customWidth="1"/>
    <col min="13827" max="13827" width="10.7109375" style="9" customWidth="1"/>
    <col min="13828" max="13828" width="11.28515625" style="9" customWidth="1"/>
    <col min="13829" max="13829" width="10.42578125" style="9" customWidth="1"/>
    <col min="13830" max="13830" width="11.42578125" style="9" customWidth="1"/>
    <col min="13831" max="13831" width="9.7109375" style="9" customWidth="1"/>
    <col min="13832" max="13832" width="10.7109375" style="9" customWidth="1"/>
    <col min="13833" max="13834" width="11.42578125" style="9"/>
    <col min="13835" max="13835" width="14.85546875" style="9" customWidth="1"/>
    <col min="13836" max="14080" width="11.42578125" style="9"/>
    <col min="14081" max="14081" width="30.7109375" style="9" customWidth="1"/>
    <col min="14082" max="14082" width="7.5703125" style="9" customWidth="1"/>
    <col min="14083" max="14083" width="10.7109375" style="9" customWidth="1"/>
    <col min="14084" max="14084" width="11.28515625" style="9" customWidth="1"/>
    <col min="14085" max="14085" width="10.42578125" style="9" customWidth="1"/>
    <col min="14086" max="14086" width="11.42578125" style="9" customWidth="1"/>
    <col min="14087" max="14087" width="9.7109375" style="9" customWidth="1"/>
    <col min="14088" max="14088" width="10.7109375" style="9" customWidth="1"/>
    <col min="14089" max="14090" width="11.42578125" style="9"/>
    <col min="14091" max="14091" width="14.85546875" style="9" customWidth="1"/>
    <col min="14092" max="14336" width="11.42578125" style="9"/>
    <col min="14337" max="14337" width="30.7109375" style="9" customWidth="1"/>
    <col min="14338" max="14338" width="7.5703125" style="9" customWidth="1"/>
    <col min="14339" max="14339" width="10.7109375" style="9" customWidth="1"/>
    <col min="14340" max="14340" width="11.28515625" style="9" customWidth="1"/>
    <col min="14341" max="14341" width="10.42578125" style="9" customWidth="1"/>
    <col min="14342" max="14342" width="11.42578125" style="9" customWidth="1"/>
    <col min="14343" max="14343" width="9.7109375" style="9" customWidth="1"/>
    <col min="14344" max="14344" width="10.7109375" style="9" customWidth="1"/>
    <col min="14345" max="14346" width="11.42578125" style="9"/>
    <col min="14347" max="14347" width="14.85546875" style="9" customWidth="1"/>
    <col min="14348" max="14592" width="11.42578125" style="9"/>
    <col min="14593" max="14593" width="30.7109375" style="9" customWidth="1"/>
    <col min="14594" max="14594" width="7.5703125" style="9" customWidth="1"/>
    <col min="14595" max="14595" width="10.7109375" style="9" customWidth="1"/>
    <col min="14596" max="14596" width="11.28515625" style="9" customWidth="1"/>
    <col min="14597" max="14597" width="10.42578125" style="9" customWidth="1"/>
    <col min="14598" max="14598" width="11.42578125" style="9" customWidth="1"/>
    <col min="14599" max="14599" width="9.7109375" style="9" customWidth="1"/>
    <col min="14600" max="14600" width="10.7109375" style="9" customWidth="1"/>
    <col min="14601" max="14602" width="11.42578125" style="9"/>
    <col min="14603" max="14603" width="14.85546875" style="9" customWidth="1"/>
    <col min="14604" max="14848" width="11.42578125" style="9"/>
    <col min="14849" max="14849" width="30.7109375" style="9" customWidth="1"/>
    <col min="14850" max="14850" width="7.5703125" style="9" customWidth="1"/>
    <col min="14851" max="14851" width="10.7109375" style="9" customWidth="1"/>
    <col min="14852" max="14852" width="11.28515625" style="9" customWidth="1"/>
    <col min="14853" max="14853" width="10.42578125" style="9" customWidth="1"/>
    <col min="14854" max="14854" width="11.42578125" style="9" customWidth="1"/>
    <col min="14855" max="14855" width="9.7109375" style="9" customWidth="1"/>
    <col min="14856" max="14856" width="10.7109375" style="9" customWidth="1"/>
    <col min="14857" max="14858" width="11.42578125" style="9"/>
    <col min="14859" max="14859" width="14.85546875" style="9" customWidth="1"/>
    <col min="14860" max="15104" width="11.42578125" style="9"/>
    <col min="15105" max="15105" width="30.7109375" style="9" customWidth="1"/>
    <col min="15106" max="15106" width="7.5703125" style="9" customWidth="1"/>
    <col min="15107" max="15107" width="10.7109375" style="9" customWidth="1"/>
    <col min="15108" max="15108" width="11.28515625" style="9" customWidth="1"/>
    <col min="15109" max="15109" width="10.42578125" style="9" customWidth="1"/>
    <col min="15110" max="15110" width="11.42578125" style="9" customWidth="1"/>
    <col min="15111" max="15111" width="9.7109375" style="9" customWidth="1"/>
    <col min="15112" max="15112" width="10.7109375" style="9" customWidth="1"/>
    <col min="15113" max="15114" width="11.42578125" style="9"/>
    <col min="15115" max="15115" width="14.85546875" style="9" customWidth="1"/>
    <col min="15116" max="15360" width="11.42578125" style="9"/>
    <col min="15361" max="15361" width="30.7109375" style="9" customWidth="1"/>
    <col min="15362" max="15362" width="7.5703125" style="9" customWidth="1"/>
    <col min="15363" max="15363" width="10.7109375" style="9" customWidth="1"/>
    <col min="15364" max="15364" width="11.28515625" style="9" customWidth="1"/>
    <col min="15365" max="15365" width="10.42578125" style="9" customWidth="1"/>
    <col min="15366" max="15366" width="11.42578125" style="9" customWidth="1"/>
    <col min="15367" max="15367" width="9.7109375" style="9" customWidth="1"/>
    <col min="15368" max="15368" width="10.7109375" style="9" customWidth="1"/>
    <col min="15369" max="15370" width="11.42578125" style="9"/>
    <col min="15371" max="15371" width="14.85546875" style="9" customWidth="1"/>
    <col min="15372" max="15616" width="11.42578125" style="9"/>
    <col min="15617" max="15617" width="30.7109375" style="9" customWidth="1"/>
    <col min="15618" max="15618" width="7.5703125" style="9" customWidth="1"/>
    <col min="15619" max="15619" width="10.7109375" style="9" customWidth="1"/>
    <col min="15620" max="15620" width="11.28515625" style="9" customWidth="1"/>
    <col min="15621" max="15621" width="10.42578125" style="9" customWidth="1"/>
    <col min="15622" max="15622" width="11.42578125" style="9" customWidth="1"/>
    <col min="15623" max="15623" width="9.7109375" style="9" customWidth="1"/>
    <col min="15624" max="15624" width="10.7109375" style="9" customWidth="1"/>
    <col min="15625" max="15626" width="11.42578125" style="9"/>
    <col min="15627" max="15627" width="14.85546875" style="9" customWidth="1"/>
    <col min="15628" max="15872" width="11.42578125" style="9"/>
    <col min="15873" max="15873" width="30.7109375" style="9" customWidth="1"/>
    <col min="15874" max="15874" width="7.5703125" style="9" customWidth="1"/>
    <col min="15875" max="15875" width="10.7109375" style="9" customWidth="1"/>
    <col min="15876" max="15876" width="11.28515625" style="9" customWidth="1"/>
    <col min="15877" max="15877" width="10.42578125" style="9" customWidth="1"/>
    <col min="15878" max="15878" width="11.42578125" style="9" customWidth="1"/>
    <col min="15879" max="15879" width="9.7109375" style="9" customWidth="1"/>
    <col min="15880" max="15880" width="10.7109375" style="9" customWidth="1"/>
    <col min="15881" max="15882" width="11.42578125" style="9"/>
    <col min="15883" max="15883" width="14.85546875" style="9" customWidth="1"/>
    <col min="15884" max="16128" width="11.42578125" style="9"/>
    <col min="16129" max="16129" width="30.7109375" style="9" customWidth="1"/>
    <col min="16130" max="16130" width="7.5703125" style="9" customWidth="1"/>
    <col min="16131" max="16131" width="10.7109375" style="9" customWidth="1"/>
    <col min="16132" max="16132" width="11.28515625" style="9" customWidth="1"/>
    <col min="16133" max="16133" width="10.42578125" style="9" customWidth="1"/>
    <col min="16134" max="16134" width="11.42578125" style="9" customWidth="1"/>
    <col min="16135" max="16135" width="9.7109375" style="9" customWidth="1"/>
    <col min="16136" max="16136" width="10.7109375" style="9" customWidth="1"/>
    <col min="16137" max="16138" width="11.42578125" style="9"/>
    <col min="16139" max="16139" width="14.85546875" style="9" customWidth="1"/>
    <col min="16140" max="16384" width="11.42578125" style="9"/>
  </cols>
  <sheetData>
    <row r="1" spans="1:9" ht="13.5">
      <c r="A1" s="22"/>
      <c r="B1" s="489" t="s">
        <v>160</v>
      </c>
      <c r="C1" s="489"/>
      <c r="D1" s="489"/>
      <c r="E1" s="489"/>
      <c r="F1" s="53"/>
      <c r="G1" s="53"/>
      <c r="H1" s="53"/>
      <c r="I1" s="53"/>
    </row>
    <row r="2" spans="1:9">
      <c r="B2" s="53"/>
      <c r="C2" s="53"/>
      <c r="D2" s="53"/>
      <c r="E2" s="53"/>
      <c r="F2" s="53"/>
      <c r="G2" s="53"/>
      <c r="H2" s="53"/>
      <c r="I2" s="53"/>
    </row>
    <row r="3" spans="1:9">
      <c r="B3" s="489" t="s">
        <v>161</v>
      </c>
      <c r="C3" s="489"/>
      <c r="D3" s="489"/>
      <c r="E3" s="489"/>
      <c r="F3" s="53"/>
      <c r="G3" s="53"/>
      <c r="H3" s="53"/>
      <c r="I3" s="53"/>
    </row>
    <row r="4" spans="1:9">
      <c r="B4" s="53"/>
      <c r="C4" s="53"/>
      <c r="D4" s="53"/>
      <c r="E4" s="53"/>
      <c r="F4" s="53"/>
      <c r="G4" s="53"/>
      <c r="H4" s="53"/>
      <c r="I4" s="53"/>
    </row>
    <row r="5" spans="1:9">
      <c r="B5" s="53"/>
      <c r="C5" s="85" t="s">
        <v>162</v>
      </c>
      <c r="D5" s="85" t="s">
        <v>163</v>
      </c>
      <c r="E5" s="53"/>
      <c r="F5" s="53"/>
      <c r="G5" s="53"/>
      <c r="H5" s="53"/>
      <c r="I5" s="53"/>
    </row>
    <row r="6" spans="1:9">
      <c r="B6" s="53"/>
      <c r="C6" s="86" t="s">
        <v>164</v>
      </c>
      <c r="D6" s="87">
        <v>5</v>
      </c>
      <c r="E6" s="53"/>
      <c r="F6" s="53"/>
      <c r="G6" s="53"/>
      <c r="H6" s="53"/>
      <c r="I6" s="53"/>
    </row>
    <row r="7" spans="1:9">
      <c r="B7" s="53"/>
      <c r="C7" s="86" t="s">
        <v>165</v>
      </c>
      <c r="D7" s="87">
        <v>4</v>
      </c>
      <c r="E7" s="53"/>
      <c r="F7" s="53"/>
      <c r="G7" s="53"/>
      <c r="H7" s="53"/>
      <c r="I7" s="53"/>
    </row>
    <row r="8" spans="1:9">
      <c r="B8" s="53"/>
      <c r="C8" s="86" t="s">
        <v>166</v>
      </c>
      <c r="D8" s="87">
        <v>3</v>
      </c>
      <c r="E8" s="53"/>
      <c r="F8" s="53"/>
      <c r="G8" s="53"/>
      <c r="H8" s="53"/>
      <c r="I8" s="53"/>
    </row>
    <row r="9" spans="1:9">
      <c r="B9" s="53"/>
      <c r="C9" s="86" t="s">
        <v>167</v>
      </c>
      <c r="D9" s="87">
        <v>2</v>
      </c>
      <c r="E9" s="53"/>
      <c r="F9" s="53"/>
      <c r="G9" s="53"/>
      <c r="H9" s="53"/>
      <c r="I9" s="53"/>
    </row>
    <row r="10" spans="1:9">
      <c r="B10" s="53"/>
      <c r="C10" s="86" t="s">
        <v>168</v>
      </c>
      <c r="D10" s="87">
        <v>1</v>
      </c>
      <c r="E10" s="53"/>
      <c r="F10" s="53"/>
      <c r="G10" s="53"/>
      <c r="H10" s="53"/>
      <c r="I10" s="53"/>
    </row>
    <row r="11" spans="1:9">
      <c r="B11" s="53"/>
      <c r="C11" s="53"/>
      <c r="D11" s="53"/>
      <c r="E11" s="53"/>
      <c r="F11" s="53"/>
      <c r="G11" s="53"/>
      <c r="H11" s="53"/>
      <c r="I11" s="53"/>
    </row>
    <row r="12" spans="1:9">
      <c r="A12" s="487" t="s">
        <v>169</v>
      </c>
      <c r="B12" s="487" t="s">
        <v>170</v>
      </c>
      <c r="C12" s="487" t="s">
        <v>171</v>
      </c>
      <c r="D12" s="487"/>
      <c r="E12" s="487" t="s">
        <v>173</v>
      </c>
      <c r="F12" s="487"/>
      <c r="G12" s="487" t="s">
        <v>172</v>
      </c>
      <c r="H12" s="487"/>
      <c r="I12" s="53"/>
    </row>
    <row r="13" spans="1:9">
      <c r="A13" s="487"/>
      <c r="B13" s="487"/>
      <c r="C13" s="88" t="s">
        <v>174</v>
      </c>
      <c r="D13" s="88" t="s">
        <v>175</v>
      </c>
      <c r="E13" s="88" t="s">
        <v>174</v>
      </c>
      <c r="F13" s="88" t="s">
        <v>175</v>
      </c>
      <c r="G13" s="88" t="s">
        <v>174</v>
      </c>
      <c r="H13" s="88" t="s">
        <v>175</v>
      </c>
      <c r="I13" s="53"/>
    </row>
    <row r="14" spans="1:9">
      <c r="A14" s="95" t="s">
        <v>176</v>
      </c>
      <c r="B14" s="89">
        <v>40</v>
      </c>
      <c r="C14" s="87">
        <v>4</v>
      </c>
      <c r="D14" s="87">
        <v>3</v>
      </c>
      <c r="E14" s="87">
        <v>4</v>
      </c>
      <c r="F14" s="87">
        <v>3</v>
      </c>
      <c r="G14" s="87">
        <v>2</v>
      </c>
      <c r="H14" s="87">
        <f>(B14*(G14/100))</f>
        <v>0.8</v>
      </c>
      <c r="I14" s="53"/>
    </row>
    <row r="15" spans="1:9">
      <c r="A15" s="95" t="s">
        <v>177</v>
      </c>
      <c r="B15" s="89">
        <v>10</v>
      </c>
      <c r="C15" s="87">
        <v>3</v>
      </c>
      <c r="D15" s="87">
        <f>(B15*(C15/100))</f>
        <v>0.3</v>
      </c>
      <c r="E15" s="87">
        <v>3</v>
      </c>
      <c r="F15" s="87">
        <f>(B15*(E15/100))</f>
        <v>0.3</v>
      </c>
      <c r="G15" s="87">
        <v>2</v>
      </c>
      <c r="H15" s="87">
        <f>(B15*(G15/100))</f>
        <v>0.2</v>
      </c>
      <c r="I15" s="53"/>
    </row>
    <row r="16" spans="1:9">
      <c r="A16" s="95" t="s">
        <v>178</v>
      </c>
      <c r="B16" s="89">
        <v>25</v>
      </c>
      <c r="C16" s="87">
        <v>3</v>
      </c>
      <c r="D16" s="87">
        <f>(B16*(C16/100))</f>
        <v>0.75</v>
      </c>
      <c r="E16" s="87">
        <v>2</v>
      </c>
      <c r="F16" s="87">
        <f>(B16*(E16/100))</f>
        <v>0.5</v>
      </c>
      <c r="G16" s="87">
        <v>4</v>
      </c>
      <c r="H16" s="87">
        <f>(B16*(G16/100))</f>
        <v>1</v>
      </c>
      <c r="I16" s="53"/>
    </row>
    <row r="17" spans="1:9">
      <c r="A17" s="95" t="s">
        <v>179</v>
      </c>
      <c r="B17" s="89">
        <v>10</v>
      </c>
      <c r="C17" s="87">
        <v>2</v>
      </c>
      <c r="D17" s="87">
        <f>(B17*(C17/100))</f>
        <v>0.2</v>
      </c>
      <c r="E17" s="87">
        <v>4</v>
      </c>
      <c r="F17" s="87">
        <f>(B17*(E17/100))</f>
        <v>0.4</v>
      </c>
      <c r="G17" s="87">
        <v>5</v>
      </c>
      <c r="H17" s="87">
        <f>(B17*(G17/100))</f>
        <v>0.5</v>
      </c>
      <c r="I17" s="53"/>
    </row>
    <row r="18" spans="1:9">
      <c r="A18" s="95" t="s">
        <v>180</v>
      </c>
      <c r="B18" s="89">
        <v>15</v>
      </c>
      <c r="C18" s="87">
        <v>4</v>
      </c>
      <c r="D18" s="87">
        <f>(B18*(C18/100))</f>
        <v>0.6</v>
      </c>
      <c r="E18" s="87">
        <v>5</v>
      </c>
      <c r="F18" s="87">
        <f>(B18*(E18/100))</f>
        <v>0.75</v>
      </c>
      <c r="G18" s="87">
        <v>3</v>
      </c>
      <c r="H18" s="87">
        <f>(B18*(G18/100))</f>
        <v>0.44999999999999996</v>
      </c>
      <c r="I18" s="53"/>
    </row>
    <row r="19" spans="1:9">
      <c r="A19" s="87" t="s">
        <v>181</v>
      </c>
      <c r="B19" s="89">
        <f t="shared" ref="B19:H19" si="0">SUM(B14:B18)</f>
        <v>100</v>
      </c>
      <c r="C19" s="87">
        <f t="shared" si="0"/>
        <v>16</v>
      </c>
      <c r="D19" s="90">
        <f t="shared" si="0"/>
        <v>4.8499999999999996</v>
      </c>
      <c r="E19" s="91">
        <f t="shared" si="0"/>
        <v>18</v>
      </c>
      <c r="F19" s="90">
        <f t="shared" si="0"/>
        <v>4.95</v>
      </c>
      <c r="G19" s="91">
        <f t="shared" si="0"/>
        <v>16</v>
      </c>
      <c r="H19" s="90">
        <f t="shared" si="0"/>
        <v>2.95</v>
      </c>
      <c r="I19" s="92"/>
    </row>
    <row r="20" spans="1:9">
      <c r="A20" s="93"/>
      <c r="B20" s="93"/>
      <c r="C20" s="93"/>
      <c r="D20" s="94">
        <f>40*(4/100)</f>
        <v>1.6</v>
      </c>
      <c r="E20" s="94"/>
      <c r="F20" s="94">
        <f>B14*(4/100)</f>
        <v>1.6</v>
      </c>
      <c r="G20" s="94"/>
      <c r="H20" s="94">
        <f>B14*(G14/100)</f>
        <v>0.8</v>
      </c>
      <c r="I20" s="92"/>
    </row>
    <row r="21" spans="1:9">
      <c r="A21" s="96" t="s">
        <v>182</v>
      </c>
      <c r="B21" s="93"/>
      <c r="C21" s="93"/>
      <c r="D21" s="93"/>
      <c r="E21" s="93"/>
      <c r="F21" s="93"/>
      <c r="G21" s="93"/>
      <c r="H21" s="93"/>
      <c r="I21" s="13"/>
    </row>
    <row r="22" spans="1:9">
      <c r="A22" s="93"/>
      <c r="B22" s="93"/>
      <c r="C22" s="93"/>
      <c r="D22" s="93"/>
      <c r="E22" s="93"/>
      <c r="F22" s="93"/>
      <c r="G22" s="93"/>
      <c r="H22" s="93"/>
      <c r="I22" s="13"/>
    </row>
    <row r="23" spans="1:9">
      <c r="A23" s="488" t="s">
        <v>183</v>
      </c>
      <c r="B23" s="488"/>
      <c r="C23" s="488"/>
      <c r="D23" s="488"/>
      <c r="E23" s="488"/>
      <c r="F23" s="488"/>
      <c r="G23" s="488"/>
      <c r="H23" s="488"/>
      <c r="I23" s="13"/>
    </row>
    <row r="24" spans="1:9">
      <c r="A24" s="488"/>
      <c r="B24" s="488"/>
      <c r="C24" s="488"/>
      <c r="D24" s="488"/>
      <c r="E24" s="488"/>
      <c r="F24" s="488"/>
      <c r="G24" s="488"/>
      <c r="H24" s="488"/>
      <c r="I24" s="13"/>
    </row>
    <row r="25" spans="1:9">
      <c r="A25" s="488"/>
      <c r="B25" s="488"/>
      <c r="C25" s="488"/>
      <c r="D25" s="488"/>
      <c r="E25" s="488"/>
      <c r="F25" s="488"/>
      <c r="G25" s="488"/>
      <c r="H25" s="488"/>
      <c r="I25" s="13"/>
    </row>
    <row r="26" spans="1:9">
      <c r="A26" s="53"/>
      <c r="B26" s="53"/>
      <c r="C26" s="53"/>
      <c r="D26" s="53"/>
      <c r="E26" s="53"/>
      <c r="F26" s="53"/>
      <c r="G26" s="53"/>
      <c r="H26" s="53"/>
    </row>
    <row r="27" spans="1:9">
      <c r="A27" s="53"/>
      <c r="B27" s="53"/>
      <c r="C27" s="53"/>
      <c r="D27" s="53"/>
      <c r="E27" s="53"/>
      <c r="F27" s="53"/>
      <c r="G27" s="53"/>
      <c r="H27" s="53"/>
    </row>
    <row r="28" spans="1:9">
      <c r="A28" s="53"/>
      <c r="B28" s="53"/>
      <c r="C28" s="53"/>
      <c r="D28" s="53"/>
      <c r="E28" s="53"/>
      <c r="F28" s="53"/>
      <c r="G28" s="53"/>
      <c r="H28" s="53"/>
    </row>
    <row r="29" spans="1:9">
      <c r="A29" s="53"/>
      <c r="B29" s="53"/>
      <c r="C29" s="53"/>
      <c r="D29" s="53"/>
      <c r="E29" s="53"/>
      <c r="F29" s="53"/>
      <c r="G29" s="53"/>
      <c r="H29" s="53"/>
    </row>
    <row r="30" spans="1:9">
      <c r="A30" s="53"/>
      <c r="B30" s="53"/>
      <c r="C30" s="53"/>
      <c r="D30" s="53"/>
      <c r="E30" s="53"/>
      <c r="F30" s="53"/>
      <c r="G30" s="53"/>
      <c r="H30" s="53"/>
    </row>
    <row r="31" spans="1:9">
      <c r="A31" s="53"/>
      <c r="B31" s="53"/>
      <c r="C31" s="53"/>
      <c r="D31" s="53"/>
      <c r="E31" s="53"/>
      <c r="F31" s="53"/>
      <c r="G31" s="53"/>
      <c r="H31" s="53"/>
    </row>
    <row r="32" spans="1:9">
      <c r="A32" s="53"/>
      <c r="B32" s="53"/>
      <c r="C32" s="53"/>
      <c r="D32" s="53"/>
      <c r="E32" s="53"/>
      <c r="F32" s="53"/>
      <c r="G32" s="53"/>
      <c r="H32" s="53"/>
    </row>
    <row r="33" spans="1:8">
      <c r="A33" s="53"/>
      <c r="B33" s="53"/>
      <c r="C33" s="53"/>
      <c r="D33" s="53"/>
      <c r="E33" s="53"/>
      <c r="F33" s="53"/>
      <c r="G33" s="53"/>
      <c r="H33" s="53"/>
    </row>
    <row r="34" spans="1:8">
      <c r="A34" s="53"/>
      <c r="B34" s="53"/>
      <c r="C34" s="53"/>
      <c r="D34" s="53"/>
      <c r="E34" s="53"/>
      <c r="F34" s="53"/>
      <c r="G34" s="53"/>
      <c r="H34" s="53"/>
    </row>
    <row r="35" spans="1:8">
      <c r="A35" s="53"/>
      <c r="B35" s="53"/>
      <c r="C35" s="53"/>
      <c r="D35" s="53"/>
      <c r="E35" s="53"/>
      <c r="F35" s="53"/>
      <c r="G35" s="53"/>
      <c r="H35" s="53"/>
    </row>
    <row r="36" spans="1:8">
      <c r="A36" s="53"/>
      <c r="B36" s="53"/>
      <c r="C36" s="53"/>
      <c r="D36" s="53"/>
      <c r="E36" s="53"/>
      <c r="F36" s="53"/>
      <c r="G36" s="53"/>
      <c r="H36" s="53"/>
    </row>
    <row r="37" spans="1:8">
      <c r="A37" s="53"/>
      <c r="B37" s="53"/>
      <c r="C37" s="53"/>
      <c r="D37" s="53"/>
      <c r="E37" s="53"/>
      <c r="F37" s="53"/>
      <c r="G37" s="53"/>
      <c r="H37" s="53"/>
    </row>
    <row r="38" spans="1:8">
      <c r="A38" s="53"/>
      <c r="B38" s="53"/>
      <c r="C38" s="53"/>
      <c r="D38" s="53"/>
      <c r="E38" s="53"/>
      <c r="F38" s="53"/>
      <c r="G38" s="53"/>
      <c r="H38" s="53"/>
    </row>
    <row r="39" spans="1:8">
      <c r="A39" s="53"/>
      <c r="B39" s="53"/>
      <c r="C39" s="53"/>
      <c r="D39" s="53"/>
      <c r="E39" s="53"/>
      <c r="F39" s="53"/>
      <c r="G39" s="53"/>
      <c r="H39" s="53"/>
    </row>
    <row r="40" spans="1:8">
      <c r="A40" s="53"/>
      <c r="B40" s="53"/>
      <c r="C40" s="53"/>
      <c r="D40" s="53"/>
      <c r="E40" s="53"/>
      <c r="F40" s="53"/>
      <c r="G40" s="53"/>
      <c r="H40" s="53"/>
    </row>
    <row r="41" spans="1:8">
      <c r="A41" s="53"/>
      <c r="B41" s="53"/>
      <c r="C41" s="53"/>
      <c r="D41" s="53"/>
      <c r="E41" s="53"/>
      <c r="F41" s="53"/>
      <c r="G41" s="53"/>
      <c r="H41" s="53"/>
    </row>
    <row r="42" spans="1:8">
      <c r="A42" s="53"/>
      <c r="B42" s="53"/>
      <c r="C42" s="53"/>
      <c r="D42" s="53"/>
      <c r="E42" s="53"/>
      <c r="F42" s="53"/>
      <c r="G42" s="53"/>
      <c r="H42" s="53"/>
    </row>
    <row r="43" spans="1:8">
      <c r="A43" s="53"/>
      <c r="B43" s="53"/>
      <c r="C43" s="53"/>
      <c r="D43" s="53"/>
      <c r="E43" s="53"/>
      <c r="F43" s="53"/>
      <c r="G43" s="53"/>
      <c r="H43" s="53"/>
    </row>
  </sheetData>
  <mergeCells count="8">
    <mergeCell ref="G12:H12"/>
    <mergeCell ref="A23:H25"/>
    <mergeCell ref="B1:E1"/>
    <mergeCell ref="B3:E3"/>
    <mergeCell ref="A12:A13"/>
    <mergeCell ref="B12:B13"/>
    <mergeCell ref="C12:D12"/>
    <mergeCell ref="E12:F12"/>
  </mergeCells>
  <pageMargins left="0.7" right="0.7" top="0.75" bottom="0.75" header="0.3" footer="0.3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A55" workbookViewId="0">
      <selection activeCell="N58" sqref="N58"/>
    </sheetView>
  </sheetViews>
  <sheetFormatPr baseColWidth="10" defaultRowHeight="15"/>
  <sheetData/>
  <pageMargins left="0.70866141732283472" right="0.70866141732283472" top="0.74803149606299213" bottom="0.74803149606299213" header="0.31496062992125984" footer="0.31496062992125984"/>
  <pageSetup paperSize="9" scale="52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1"/>
  <sheetViews>
    <sheetView workbookViewId="0">
      <selection activeCell="D11" sqref="D11"/>
    </sheetView>
  </sheetViews>
  <sheetFormatPr baseColWidth="10" defaultRowHeight="15"/>
  <cols>
    <col min="4" max="4" width="17.42578125" customWidth="1"/>
  </cols>
  <sheetData>
    <row r="1" spans="1:27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</row>
    <row r="2" spans="1:27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</row>
    <row r="3" spans="1:27">
      <c r="A3" s="68"/>
      <c r="B3" s="68"/>
      <c r="C3" s="390"/>
      <c r="D3" s="522" t="s">
        <v>355</v>
      </c>
      <c r="E3" s="522"/>
      <c r="F3" s="522"/>
      <c r="G3" s="522"/>
      <c r="H3" s="522"/>
      <c r="I3" s="390"/>
      <c r="J3" s="390"/>
      <c r="K3" s="390"/>
      <c r="L3" s="390"/>
      <c r="M3" s="390"/>
      <c r="N3" s="390"/>
      <c r="O3" s="390"/>
      <c r="P3" s="390"/>
      <c r="Q3" s="390"/>
      <c r="R3" s="68"/>
      <c r="S3" s="68"/>
      <c r="T3" s="68"/>
      <c r="U3" s="68"/>
      <c r="V3" s="68"/>
      <c r="W3" s="68"/>
      <c r="X3" s="68"/>
      <c r="Y3" s="68"/>
      <c r="Z3" s="68"/>
      <c r="AA3" s="68"/>
    </row>
    <row r="4" spans="1:27">
      <c r="A4" s="68"/>
      <c r="B4" s="68"/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90"/>
      <c r="Q4" s="390"/>
      <c r="R4" s="68"/>
      <c r="S4" s="68"/>
      <c r="T4" s="68"/>
      <c r="U4" s="68"/>
      <c r="V4" s="68"/>
      <c r="W4" s="68"/>
      <c r="X4" s="68"/>
      <c r="Y4" s="68"/>
      <c r="Z4" s="68"/>
      <c r="AA4" s="68"/>
    </row>
    <row r="5" spans="1:27">
      <c r="A5" s="68"/>
      <c r="B5" s="68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68"/>
      <c r="S5" s="68"/>
      <c r="T5" s="68"/>
      <c r="U5" s="68"/>
      <c r="V5" s="68"/>
      <c r="W5" s="68"/>
      <c r="X5" s="68"/>
      <c r="Y5" s="68"/>
      <c r="Z5" s="68"/>
      <c r="AA5" s="68"/>
    </row>
    <row r="6" spans="1:27">
      <c r="A6" s="68"/>
      <c r="B6" s="68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  <c r="Q6" s="390"/>
      <c r="R6" s="68"/>
      <c r="S6" s="68"/>
      <c r="T6" s="68"/>
      <c r="U6" s="68"/>
      <c r="V6" s="68"/>
      <c r="W6" s="68"/>
      <c r="X6" s="68"/>
      <c r="Y6" s="68"/>
      <c r="Z6" s="68"/>
      <c r="AA6" s="68"/>
    </row>
    <row r="7" spans="1:27">
      <c r="A7" s="68"/>
      <c r="B7" s="68"/>
      <c r="C7" s="390"/>
      <c r="D7" s="390"/>
      <c r="E7" s="390"/>
      <c r="F7" s="390"/>
      <c r="G7" s="390"/>
      <c r="H7" s="390"/>
      <c r="I7" s="390"/>
      <c r="J7" s="390"/>
      <c r="K7" s="390"/>
      <c r="L7" s="390"/>
      <c r="M7" s="390"/>
      <c r="N7" s="390"/>
      <c r="O7" s="390"/>
      <c r="P7" s="390"/>
      <c r="Q7" s="390"/>
      <c r="R7" s="68"/>
      <c r="S7" s="68"/>
      <c r="T7" s="68"/>
      <c r="U7" s="68"/>
      <c r="V7" s="68"/>
      <c r="W7" s="68"/>
      <c r="X7" s="68"/>
      <c r="Y7" s="68"/>
      <c r="Z7" s="68"/>
      <c r="AA7" s="68"/>
    </row>
    <row r="8" spans="1:27">
      <c r="A8" s="68"/>
      <c r="B8" s="68"/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68"/>
      <c r="S8" s="68"/>
      <c r="T8" s="68"/>
      <c r="U8" s="68"/>
      <c r="V8" s="68"/>
      <c r="W8" s="68"/>
      <c r="X8" s="68"/>
      <c r="Y8" s="68"/>
      <c r="Z8" s="68"/>
      <c r="AA8" s="68"/>
    </row>
    <row r="9" spans="1:27">
      <c r="A9" s="68"/>
      <c r="B9" s="68"/>
      <c r="C9" s="390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68"/>
      <c r="S9" s="68"/>
      <c r="T9" s="68"/>
      <c r="U9" s="68"/>
      <c r="V9" s="68"/>
      <c r="W9" s="68"/>
      <c r="X9" s="68"/>
      <c r="Y9" s="68"/>
      <c r="Z9" s="68"/>
      <c r="AA9" s="68"/>
    </row>
    <row r="10" spans="1:27">
      <c r="A10" s="68"/>
      <c r="B10" s="68"/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68"/>
      <c r="S10" s="68"/>
      <c r="T10" s="68"/>
      <c r="U10" s="68"/>
      <c r="V10" s="68"/>
      <c r="W10" s="68"/>
      <c r="X10" s="68"/>
      <c r="Y10" s="68"/>
      <c r="Z10" s="68"/>
      <c r="AA10" s="68"/>
    </row>
    <row r="11" spans="1:27">
      <c r="A11" s="68"/>
      <c r="B11" s="68"/>
      <c r="C11" s="390"/>
      <c r="D11" s="390" t="s">
        <v>356</v>
      </c>
      <c r="E11" s="390" t="s">
        <v>357</v>
      </c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68"/>
      <c r="S11" s="68"/>
      <c r="T11" s="68"/>
      <c r="U11" s="68"/>
      <c r="V11" s="68"/>
      <c r="W11" s="68"/>
      <c r="X11" s="68"/>
      <c r="Y11" s="68"/>
      <c r="Z11" s="68"/>
      <c r="AA11" s="68"/>
    </row>
    <row r="12" spans="1:27">
      <c r="A12" s="68"/>
      <c r="B12" s="68"/>
      <c r="C12" s="390"/>
      <c r="D12" s="390"/>
      <c r="E12" s="390"/>
      <c r="F12" s="390"/>
      <c r="G12" s="390"/>
      <c r="H12" s="390"/>
      <c r="I12" s="390"/>
      <c r="J12" s="390"/>
      <c r="K12" s="390"/>
      <c r="L12" s="390"/>
      <c r="M12" s="390"/>
      <c r="N12" s="390"/>
      <c r="O12" s="390"/>
      <c r="P12" s="390"/>
      <c r="Q12" s="390"/>
      <c r="R12" s="68"/>
      <c r="S12" s="68"/>
      <c r="T12" s="68"/>
      <c r="U12" s="68"/>
      <c r="V12" s="68"/>
      <c r="W12" s="68"/>
      <c r="X12" s="68"/>
      <c r="Y12" s="68"/>
      <c r="Z12" s="68"/>
      <c r="AA12" s="68"/>
    </row>
    <row r="13" spans="1:27">
      <c r="A13" s="68"/>
      <c r="B13" s="68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  <c r="Q13" s="390"/>
      <c r="R13" s="68"/>
      <c r="S13" s="68"/>
      <c r="T13" s="68"/>
      <c r="U13" s="68"/>
      <c r="V13" s="68"/>
      <c r="W13" s="68"/>
      <c r="X13" s="68"/>
      <c r="Y13" s="68"/>
      <c r="Z13" s="68"/>
      <c r="AA13" s="68"/>
    </row>
    <row r="14" spans="1:27">
      <c r="A14" s="68"/>
      <c r="B14" s="68"/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68"/>
      <c r="S14" s="68"/>
      <c r="T14" s="68"/>
      <c r="U14" s="68"/>
      <c r="V14" s="68"/>
      <c r="W14" s="68"/>
      <c r="X14" s="68"/>
      <c r="Y14" s="68"/>
      <c r="Z14" s="68"/>
      <c r="AA14" s="68"/>
    </row>
    <row r="15" spans="1:27">
      <c r="A15" s="68"/>
      <c r="B15" s="68"/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68"/>
      <c r="S15" s="68"/>
      <c r="T15" s="68"/>
      <c r="U15" s="68"/>
      <c r="V15" s="68"/>
      <c r="W15" s="68"/>
      <c r="X15" s="68"/>
      <c r="Y15" s="68"/>
      <c r="Z15" s="68"/>
      <c r="AA15" s="68"/>
    </row>
    <row r="16" spans="1:27">
      <c r="A16" s="68"/>
      <c r="B16" s="68"/>
      <c r="C16" s="390"/>
      <c r="D16" s="390"/>
      <c r="E16" s="390"/>
      <c r="F16" s="390"/>
      <c r="G16" s="390"/>
      <c r="H16" s="390"/>
      <c r="I16" s="390"/>
      <c r="J16" s="390"/>
      <c r="K16" s="390"/>
      <c r="L16" s="390"/>
      <c r="M16" s="390"/>
      <c r="N16" s="390"/>
      <c r="O16" s="390"/>
      <c r="P16" s="390"/>
      <c r="Q16" s="390"/>
      <c r="R16" s="68"/>
      <c r="S16" s="68"/>
      <c r="T16" s="68"/>
      <c r="U16" s="68"/>
      <c r="V16" s="68"/>
      <c r="W16" s="68"/>
      <c r="X16" s="68"/>
      <c r="Y16" s="68"/>
      <c r="Z16" s="68"/>
      <c r="AA16" s="68"/>
    </row>
    <row r="17" spans="1:27">
      <c r="A17" s="68"/>
      <c r="B17" s="68"/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  <c r="R17" s="68"/>
      <c r="S17" s="68"/>
      <c r="T17" s="68"/>
      <c r="U17" s="68"/>
      <c r="V17" s="68"/>
      <c r="W17" s="68"/>
      <c r="X17" s="68"/>
      <c r="Y17" s="68"/>
      <c r="Z17" s="68"/>
      <c r="AA17" s="68"/>
    </row>
    <row r="18" spans="1:27">
      <c r="A18" s="68"/>
      <c r="B18" s="68"/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68"/>
      <c r="S18" s="68"/>
      <c r="T18" s="68"/>
      <c r="U18" s="68"/>
      <c r="V18" s="68"/>
      <c r="W18" s="68"/>
      <c r="X18" s="68"/>
      <c r="Y18" s="68"/>
      <c r="Z18" s="68"/>
      <c r="AA18" s="68"/>
    </row>
    <row r="19" spans="1:27">
      <c r="A19" s="68"/>
      <c r="B19" s="68"/>
      <c r="C19" s="390"/>
      <c r="D19" s="390"/>
      <c r="E19" s="390"/>
      <c r="F19" s="390"/>
      <c r="G19" s="390"/>
      <c r="H19" s="390"/>
      <c r="I19" s="390"/>
      <c r="J19" s="390"/>
      <c r="K19" s="390"/>
      <c r="L19" s="390"/>
      <c r="M19" s="390"/>
      <c r="N19" s="390"/>
      <c r="O19" s="390"/>
      <c r="P19" s="390"/>
      <c r="Q19" s="390"/>
      <c r="R19" s="68"/>
      <c r="S19" s="68"/>
      <c r="T19" s="68"/>
      <c r="U19" s="68"/>
      <c r="V19" s="68"/>
      <c r="W19" s="68"/>
      <c r="X19" s="68"/>
      <c r="Y19" s="68"/>
      <c r="Z19" s="68"/>
      <c r="AA19" s="68"/>
    </row>
    <row r="20" spans="1:27">
      <c r="A20" s="68"/>
      <c r="B20" s="68"/>
      <c r="C20" s="390"/>
      <c r="D20" s="390"/>
      <c r="E20" s="390"/>
      <c r="F20" s="390"/>
      <c r="G20" s="390"/>
      <c r="H20" s="390"/>
      <c r="I20" s="390"/>
      <c r="J20" s="390"/>
      <c r="K20" s="390"/>
      <c r="L20" s="390"/>
      <c r="M20" s="390"/>
      <c r="N20" s="390"/>
      <c r="O20" s="390"/>
      <c r="P20" s="390"/>
      <c r="Q20" s="390"/>
      <c r="R20" s="68"/>
      <c r="S20" s="68"/>
      <c r="T20" s="68"/>
      <c r="U20" s="68"/>
      <c r="V20" s="68"/>
      <c r="W20" s="68"/>
      <c r="X20" s="68"/>
      <c r="Y20" s="68"/>
      <c r="Z20" s="68"/>
      <c r="AA20" s="68"/>
    </row>
    <row r="21" spans="1:27">
      <c r="A21" s="68"/>
      <c r="B21" s="68"/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68"/>
      <c r="S21" s="68"/>
      <c r="T21" s="68"/>
      <c r="U21" s="68"/>
      <c r="V21" s="68"/>
      <c r="W21" s="68"/>
      <c r="X21" s="68"/>
      <c r="Y21" s="68"/>
      <c r="Z21" s="68"/>
      <c r="AA21" s="68"/>
    </row>
    <row r="22" spans="1:27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</row>
    <row r="23" spans="1:27">
      <c r="A23" s="68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</row>
    <row r="24" spans="1:27">
      <c r="A24" s="68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</row>
    <row r="25" spans="1:27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</row>
    <row r="26" spans="1:27">
      <c r="A26" s="68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</row>
    <row r="27" spans="1:27">
      <c r="A27" s="68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</row>
    <row r="28" spans="1:27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</row>
    <row r="29" spans="1:27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</row>
    <row r="30" spans="1:27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</row>
    <row r="31" spans="1:27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</row>
    <row r="32" spans="1:27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</row>
    <row r="33" spans="1:27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</row>
    <row r="34" spans="1:27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</row>
    <row r="35" spans="1:27">
      <c r="A35" s="68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</row>
    <row r="36" spans="1:27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</row>
    <row r="37" spans="1:27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</row>
    <row r="38" spans="1:27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</row>
    <row r="39" spans="1:27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</row>
    <row r="40" spans="1:27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</row>
    <row r="41" spans="1:27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</row>
    <row r="42" spans="1:27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</row>
    <row r="43" spans="1:27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</row>
    <row r="44" spans="1:27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</row>
    <row r="45" spans="1:27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</row>
    <row r="46" spans="1:27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</row>
    <row r="47" spans="1:27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</row>
    <row r="48" spans="1:27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</row>
    <row r="49" spans="1:27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</row>
    <row r="50" spans="1:27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</row>
    <row r="51" spans="1:27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</row>
    <row r="52" spans="1:27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</row>
    <row r="53" spans="1:27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</row>
    <row r="54" spans="1:27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</row>
    <row r="55" spans="1:27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</row>
    <row r="56" spans="1:27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</row>
    <row r="57" spans="1:27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</row>
    <row r="58" spans="1:27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</row>
    <row r="59" spans="1:27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</row>
    <row r="60" spans="1:27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</row>
    <row r="61" spans="1:27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</row>
    <row r="62" spans="1:27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</row>
    <row r="63" spans="1:27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</row>
    <row r="64" spans="1:27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</row>
    <row r="65" spans="1:27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</row>
    <row r="66" spans="1:27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</row>
    <row r="67" spans="1:27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</row>
    <row r="68" spans="1:27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</row>
    <row r="69" spans="1:27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</row>
    <row r="70" spans="1:27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</row>
    <row r="71" spans="1:27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</row>
    <row r="72" spans="1:27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</row>
    <row r="73" spans="1:27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</row>
    <row r="74" spans="1:27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</row>
    <row r="75" spans="1:27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</row>
    <row r="76" spans="1:27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</row>
    <row r="77" spans="1:27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</row>
    <row r="78" spans="1:27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</row>
    <row r="79" spans="1:27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</row>
    <row r="80" spans="1:27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</row>
    <row r="81" spans="1:27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</row>
    <row r="82" spans="1:27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</row>
    <row r="83" spans="1:27">
      <c r="A83" s="68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</row>
    <row r="84" spans="1:27">
      <c r="A84" s="68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</row>
    <row r="85" spans="1:27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</row>
    <row r="86" spans="1:27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</row>
    <row r="87" spans="1:27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</row>
    <row r="88" spans="1:27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</row>
    <row r="89" spans="1:27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</row>
    <row r="90" spans="1:27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</row>
    <row r="91" spans="1:27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</row>
    <row r="92" spans="1:27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</row>
    <row r="93" spans="1:27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</row>
    <row r="94" spans="1:27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</row>
    <row r="95" spans="1:27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</row>
    <row r="96" spans="1:27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</row>
    <row r="97" spans="1:27">
      <c r="A97" s="68"/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</row>
    <row r="98" spans="1:27">
      <c r="A98" s="68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</row>
    <row r="99" spans="1:27">
      <c r="A99" s="68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</row>
    <row r="100" spans="1:27">
      <c r="A100" s="68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</row>
    <row r="101" spans="1:27">
      <c r="A101" s="68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</row>
    <row r="102" spans="1:27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</row>
    <row r="103" spans="1:27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</row>
    <row r="104" spans="1:27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</row>
    <row r="105" spans="1:27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</row>
    <row r="106" spans="1:27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</row>
    <row r="107" spans="1:27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</row>
    <row r="108" spans="1:27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</row>
    <row r="109" spans="1:27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</row>
    <row r="110" spans="1:27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</row>
    <row r="111" spans="1:27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</row>
    <row r="112" spans="1:27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</row>
    <row r="113" spans="1:27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</row>
    <row r="114" spans="1:27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</row>
    <row r="115" spans="1:27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</row>
    <row r="116" spans="1:27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</row>
    <row r="117" spans="1:27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</row>
    <row r="118" spans="1:27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</row>
    <row r="119" spans="1:27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</row>
    <row r="120" spans="1:27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</row>
    <row r="121" spans="1:27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</row>
    <row r="122" spans="1:27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</row>
    <row r="123" spans="1:27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</row>
    <row r="124" spans="1:27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</row>
    <row r="125" spans="1:27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</row>
    <row r="126" spans="1:27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</row>
    <row r="127" spans="1:27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</row>
    <row r="128" spans="1:27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</row>
    <row r="129" spans="1:27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</row>
    <row r="130" spans="1:27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</row>
    <row r="131" spans="1:27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</row>
    <row r="132" spans="1:27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</row>
    <row r="133" spans="1:27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</row>
    <row r="134" spans="1:27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</row>
    <row r="135" spans="1:27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</row>
    <row r="136" spans="1:27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</row>
    <row r="137" spans="1:27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</row>
    <row r="138" spans="1:27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</row>
    <row r="139" spans="1:27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</row>
    <row r="140" spans="1:27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</row>
    <row r="141" spans="1:27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</row>
    <row r="142" spans="1:27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</row>
    <row r="143" spans="1:27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</row>
    <row r="144" spans="1:27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</row>
    <row r="145" spans="1:27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</row>
    <row r="146" spans="1:27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</row>
    <row r="147" spans="1:27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</row>
    <row r="148" spans="1:27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</row>
    <row r="149" spans="1:27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</row>
    <row r="150" spans="1:27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</row>
    <row r="151" spans="1:27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</row>
    <row r="152" spans="1:27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</row>
    <row r="153" spans="1:27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</row>
    <row r="154" spans="1:27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</row>
    <row r="155" spans="1:27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</row>
    <row r="156" spans="1:27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</row>
    <row r="157" spans="1:27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</row>
    <row r="158" spans="1:27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</row>
    <row r="159" spans="1:27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</row>
    <row r="160" spans="1:27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</row>
    <row r="161" spans="1:27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</row>
    <row r="162" spans="1:27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</row>
    <row r="163" spans="1:27">
      <c r="A163" s="68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</row>
    <row r="164" spans="1:27">
      <c r="A164" s="68"/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</row>
    <row r="165" spans="1:27">
      <c r="A165" s="68"/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</row>
    <row r="166" spans="1:27">
      <c r="A166" s="68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</row>
    <row r="167" spans="1:27">
      <c r="A167" s="68"/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</row>
    <row r="168" spans="1:27">
      <c r="A168" s="68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</row>
    <row r="169" spans="1:27">
      <c r="A169" s="68"/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</row>
    <row r="170" spans="1:27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</row>
    <row r="171" spans="1:27">
      <c r="A171" s="68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</row>
    <row r="172" spans="1:27">
      <c r="A172" s="68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</row>
    <row r="173" spans="1:27">
      <c r="A173" s="68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</row>
    <row r="174" spans="1:27">
      <c r="A174" s="68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</row>
    <row r="175" spans="1:27">
      <c r="A175" s="68"/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</row>
    <row r="176" spans="1:27">
      <c r="A176" s="68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</row>
    <row r="177" spans="1:27">
      <c r="A177" s="68"/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</row>
    <row r="178" spans="1:27">
      <c r="A178" s="68"/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</row>
    <row r="179" spans="1:27">
      <c r="A179" s="68"/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</row>
    <row r="180" spans="1:27">
      <c r="A180" s="68"/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</row>
    <row r="181" spans="1:27">
      <c r="A181" s="68"/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</row>
    <row r="182" spans="1:27">
      <c r="A182" s="68"/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</row>
    <row r="183" spans="1:27">
      <c r="A183" s="68"/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</row>
    <row r="184" spans="1:27">
      <c r="A184" s="68"/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</row>
    <row r="185" spans="1:27">
      <c r="A185" s="68"/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</row>
    <row r="186" spans="1:27">
      <c r="A186" s="68"/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</row>
    <row r="187" spans="1:27">
      <c r="A187" s="68"/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</row>
    <row r="188" spans="1:27">
      <c r="A188" s="68"/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</row>
    <row r="189" spans="1:27">
      <c r="A189" s="68"/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</row>
    <row r="190" spans="1:27">
      <c r="A190" s="68"/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</row>
    <row r="191" spans="1:27">
      <c r="A191" s="68"/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</row>
    <row r="192" spans="1:27">
      <c r="A192" s="68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</row>
    <row r="193" spans="1:27">
      <c r="A193" s="68"/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</row>
    <row r="194" spans="1:27">
      <c r="A194" s="68"/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</row>
    <row r="195" spans="1:27">
      <c r="A195" s="68"/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</row>
    <row r="196" spans="1:27">
      <c r="A196" s="68"/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</row>
    <row r="197" spans="1:27">
      <c r="A197" s="68"/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</row>
    <row r="198" spans="1:27">
      <c r="A198" s="68"/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</row>
    <row r="199" spans="1:27">
      <c r="A199" s="68"/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</row>
    <row r="200" spans="1:27">
      <c r="A200" s="68"/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</row>
    <row r="201" spans="1:27">
      <c r="A201" s="68"/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</row>
    <row r="202" spans="1:27">
      <c r="A202" s="68"/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</row>
    <row r="203" spans="1:27">
      <c r="A203" s="68"/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</row>
    <row r="204" spans="1:27">
      <c r="A204" s="68"/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</row>
    <row r="205" spans="1:27">
      <c r="A205" s="68"/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</row>
    <row r="206" spans="1:27">
      <c r="A206" s="68"/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</row>
    <row r="207" spans="1:27">
      <c r="A207" s="68"/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</row>
    <row r="208" spans="1:27">
      <c r="A208" s="68"/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</row>
    <row r="209" spans="1:27">
      <c r="A209" s="68"/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</row>
    <row r="210" spans="1:27">
      <c r="A210" s="68"/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</row>
    <row r="211" spans="1:27">
      <c r="A211" s="68"/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</row>
    <row r="212" spans="1:27">
      <c r="A212" s="68"/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</row>
    <row r="213" spans="1:27">
      <c r="A213" s="68"/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</row>
    <row r="214" spans="1:27">
      <c r="A214" s="68"/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</row>
    <row r="215" spans="1:27">
      <c r="A215" s="68"/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</row>
    <row r="216" spans="1:27">
      <c r="A216" s="68"/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</row>
    <row r="217" spans="1:27">
      <c r="A217" s="68"/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</row>
    <row r="218" spans="1:27">
      <c r="A218" s="68"/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</row>
    <row r="219" spans="1:27">
      <c r="A219" s="68"/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</row>
    <row r="220" spans="1:27">
      <c r="A220" s="68"/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</row>
    <row r="221" spans="1:27">
      <c r="A221" s="68"/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</row>
  </sheetData>
  <mergeCells count="1">
    <mergeCell ref="D3:H3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16"/>
  <sheetViews>
    <sheetView topLeftCell="D106" workbookViewId="0">
      <selection activeCell="H115" sqref="E115:H127"/>
    </sheetView>
  </sheetViews>
  <sheetFormatPr baseColWidth="10" defaultRowHeight="15"/>
  <cols>
    <col min="2" max="2" width="26.140625" customWidth="1"/>
    <col min="3" max="3" width="11.42578125" customWidth="1"/>
    <col min="6" max="6" width="16.140625" customWidth="1"/>
    <col min="8" max="8" width="30" customWidth="1"/>
    <col min="9" max="9" width="30.140625" customWidth="1"/>
  </cols>
  <sheetData>
    <row r="2" spans="1:10">
      <c r="A2" s="475"/>
      <c r="B2" s="475"/>
    </row>
    <row r="4" spans="1:10">
      <c r="A4" s="475">
        <v>1</v>
      </c>
      <c r="B4" s="475" t="s">
        <v>506</v>
      </c>
      <c r="I4" s="475" t="s">
        <v>541</v>
      </c>
      <c r="J4" s="475"/>
    </row>
    <row r="5" spans="1:10">
      <c r="B5" s="476" t="s">
        <v>507</v>
      </c>
      <c r="C5" s="477">
        <v>90</v>
      </c>
    </row>
    <row r="6" spans="1:10">
      <c r="B6" s="476" t="s">
        <v>508</v>
      </c>
      <c r="C6" s="477">
        <v>70</v>
      </c>
      <c r="I6" s="479" t="s">
        <v>542</v>
      </c>
      <c r="J6" s="479">
        <v>65</v>
      </c>
    </row>
    <row r="7" spans="1:10">
      <c r="B7" s="476" t="s">
        <v>509</v>
      </c>
      <c r="C7" s="477">
        <v>35</v>
      </c>
      <c r="I7" s="479" t="s">
        <v>543</v>
      </c>
      <c r="J7" s="479">
        <v>70</v>
      </c>
    </row>
    <row r="8" spans="1:10">
      <c r="B8" s="478" t="s">
        <v>181</v>
      </c>
      <c r="C8" s="479">
        <f>SUM(C5:C7)</f>
        <v>195</v>
      </c>
      <c r="I8" s="479" t="s">
        <v>544</v>
      </c>
      <c r="J8" s="479">
        <v>60</v>
      </c>
    </row>
    <row r="9" spans="1:10">
      <c r="I9" s="480" t="s">
        <v>46</v>
      </c>
      <c r="J9" s="480">
        <f>SUM(J6:J8)</f>
        <v>195</v>
      </c>
    </row>
    <row r="19" spans="1:10">
      <c r="A19" s="475">
        <v>2</v>
      </c>
      <c r="B19" s="475" t="s">
        <v>510</v>
      </c>
    </row>
    <row r="21" spans="1:10">
      <c r="B21" s="479" t="s">
        <v>511</v>
      </c>
      <c r="C21" s="479">
        <v>88</v>
      </c>
    </row>
    <row r="22" spans="1:10">
      <c r="B22" s="479" t="s">
        <v>512</v>
      </c>
      <c r="C22" s="479">
        <v>107</v>
      </c>
    </row>
    <row r="23" spans="1:10">
      <c r="B23" s="479" t="s">
        <v>46</v>
      </c>
      <c r="C23" s="479">
        <f>SUM(C21:C22)</f>
        <v>195</v>
      </c>
      <c r="I23" t="s">
        <v>545</v>
      </c>
    </row>
    <row r="25" spans="1:10">
      <c r="I25" s="479" t="s">
        <v>546</v>
      </c>
      <c r="J25" s="479">
        <v>70</v>
      </c>
    </row>
    <row r="26" spans="1:10">
      <c r="I26" s="479" t="s">
        <v>547</v>
      </c>
      <c r="J26" s="479">
        <v>77</v>
      </c>
    </row>
    <row r="27" spans="1:10">
      <c r="I27" s="479" t="s">
        <v>548</v>
      </c>
      <c r="J27" s="479">
        <v>48</v>
      </c>
    </row>
    <row r="28" spans="1:10">
      <c r="I28" s="480" t="s">
        <v>46</v>
      </c>
      <c r="J28" s="480">
        <f>SUM(J25:J27)</f>
        <v>195</v>
      </c>
    </row>
    <row r="31" spans="1:10">
      <c r="A31" s="475">
        <v>3</v>
      </c>
      <c r="B31" s="475" t="s">
        <v>513</v>
      </c>
    </row>
    <row r="33" spans="1:10">
      <c r="B33" s="479" t="s">
        <v>514</v>
      </c>
      <c r="C33" s="479">
        <v>180</v>
      </c>
    </row>
    <row r="34" spans="1:10">
      <c r="B34" s="479" t="s">
        <v>515</v>
      </c>
      <c r="C34" s="479">
        <v>15</v>
      </c>
    </row>
    <row r="35" spans="1:10">
      <c r="B35" s="479" t="s">
        <v>516</v>
      </c>
      <c r="C35" s="479">
        <f>SUM(C33:C34)</f>
        <v>195</v>
      </c>
    </row>
    <row r="40" spans="1:10">
      <c r="I40" s="475" t="s">
        <v>549</v>
      </c>
    </row>
    <row r="42" spans="1:10">
      <c r="I42" s="479" t="s">
        <v>550</v>
      </c>
      <c r="J42" s="479">
        <v>85</v>
      </c>
    </row>
    <row r="43" spans="1:10">
      <c r="I43" s="479" t="s">
        <v>551</v>
      </c>
      <c r="J43" s="479">
        <v>60</v>
      </c>
    </row>
    <row r="44" spans="1:10">
      <c r="I44" s="479" t="s">
        <v>552</v>
      </c>
      <c r="J44" s="479">
        <v>50</v>
      </c>
    </row>
    <row r="45" spans="1:10">
      <c r="I45" s="480" t="s">
        <v>46</v>
      </c>
      <c r="J45" s="480">
        <f>SUM(J42:J44)</f>
        <v>195</v>
      </c>
    </row>
    <row r="46" spans="1:10">
      <c r="A46" s="475">
        <v>4</v>
      </c>
      <c r="B46" s="475" t="s">
        <v>517</v>
      </c>
    </row>
    <row r="48" spans="1:10">
      <c r="B48" s="479" t="s">
        <v>518</v>
      </c>
      <c r="C48" s="479">
        <v>42</v>
      </c>
    </row>
    <row r="49" spans="1:10">
      <c r="B49" s="479" t="s">
        <v>519</v>
      </c>
      <c r="C49" s="479">
        <v>15</v>
      </c>
    </row>
    <row r="50" spans="1:10">
      <c r="B50" s="479" t="s">
        <v>520</v>
      </c>
      <c r="C50" s="479">
        <v>47</v>
      </c>
    </row>
    <row r="51" spans="1:10">
      <c r="B51" s="479" t="s">
        <v>521</v>
      </c>
      <c r="C51" s="479">
        <v>20</v>
      </c>
    </row>
    <row r="52" spans="1:10">
      <c r="B52" s="479" t="s">
        <v>522</v>
      </c>
      <c r="C52" s="479">
        <v>15</v>
      </c>
    </row>
    <row r="53" spans="1:10">
      <c r="B53" s="479" t="s">
        <v>523</v>
      </c>
      <c r="C53" s="479">
        <v>40</v>
      </c>
    </row>
    <row r="54" spans="1:10">
      <c r="B54" s="479" t="s">
        <v>524</v>
      </c>
      <c r="C54" s="479">
        <v>16</v>
      </c>
    </row>
    <row r="55" spans="1:10">
      <c r="B55" s="480" t="s">
        <v>46</v>
      </c>
      <c r="C55" s="480">
        <f>SUM(C48:C54)</f>
        <v>195</v>
      </c>
    </row>
    <row r="58" spans="1:10">
      <c r="I58" s="475" t="s">
        <v>553</v>
      </c>
    </row>
    <row r="60" spans="1:10">
      <c r="I60" s="479" t="s">
        <v>554</v>
      </c>
      <c r="J60" s="479">
        <v>45</v>
      </c>
    </row>
    <row r="61" spans="1:10">
      <c r="I61" s="479" t="s">
        <v>555</v>
      </c>
      <c r="J61" s="479">
        <v>60</v>
      </c>
    </row>
    <row r="62" spans="1:10">
      <c r="A62" s="475">
        <v>5</v>
      </c>
      <c r="B62" s="475" t="s">
        <v>525</v>
      </c>
      <c r="I62" s="479" t="s">
        <v>556</v>
      </c>
      <c r="J62" s="479">
        <v>90</v>
      </c>
    </row>
    <row r="63" spans="1:10">
      <c r="F63" t="s">
        <v>536</v>
      </c>
      <c r="I63" s="480" t="s">
        <v>46</v>
      </c>
      <c r="J63" s="480">
        <f>SUM(J60:J62)</f>
        <v>195</v>
      </c>
    </row>
    <row r="64" spans="1:10">
      <c r="B64" s="479" t="s">
        <v>526</v>
      </c>
      <c r="C64" s="479">
        <v>35</v>
      </c>
    </row>
    <row r="65" spans="1:10">
      <c r="B65" s="479" t="s">
        <v>527</v>
      </c>
      <c r="C65" s="479">
        <v>60</v>
      </c>
    </row>
    <row r="66" spans="1:10">
      <c r="B66" s="479" t="s">
        <v>530</v>
      </c>
      <c r="C66" s="479">
        <v>40</v>
      </c>
    </row>
    <row r="67" spans="1:10">
      <c r="B67" s="479" t="s">
        <v>529</v>
      </c>
      <c r="C67" s="479">
        <v>35</v>
      </c>
    </row>
    <row r="68" spans="1:10">
      <c r="B68" s="479" t="s">
        <v>528</v>
      </c>
      <c r="C68" s="479">
        <v>25</v>
      </c>
    </row>
    <row r="69" spans="1:10">
      <c r="B69" s="480" t="s">
        <v>46</v>
      </c>
      <c r="C69" s="480">
        <f>SUM(C64:C68)</f>
        <v>195</v>
      </c>
    </row>
    <row r="76" spans="1:10">
      <c r="I76" s="475" t="s">
        <v>557</v>
      </c>
    </row>
    <row r="78" spans="1:10">
      <c r="A78" s="475">
        <v>6</v>
      </c>
      <c r="B78" s="475" t="s">
        <v>531</v>
      </c>
      <c r="I78" s="479" t="s">
        <v>558</v>
      </c>
      <c r="J78" s="479">
        <v>145</v>
      </c>
    </row>
    <row r="79" spans="1:10">
      <c r="I79" s="479" t="s">
        <v>515</v>
      </c>
      <c r="J79" s="479">
        <v>50</v>
      </c>
    </row>
    <row r="80" spans="1:10">
      <c r="B80" s="479" t="s">
        <v>532</v>
      </c>
      <c r="C80" s="479">
        <v>38</v>
      </c>
      <c r="I80" s="480" t="s">
        <v>46</v>
      </c>
      <c r="J80" s="480">
        <f>SUM(J78:J79)</f>
        <v>195</v>
      </c>
    </row>
    <row r="81" spans="1:10">
      <c r="B81" s="479" t="s">
        <v>533</v>
      </c>
      <c r="C81" s="479">
        <v>35</v>
      </c>
    </row>
    <row r="82" spans="1:10">
      <c r="B82" s="479" t="s">
        <v>534</v>
      </c>
      <c r="C82" s="479">
        <v>65</v>
      </c>
    </row>
    <row r="83" spans="1:10">
      <c r="B83" s="479" t="s">
        <v>535</v>
      </c>
      <c r="C83" s="479">
        <v>57</v>
      </c>
    </row>
    <row r="84" spans="1:10">
      <c r="B84" s="480" t="s">
        <v>46</v>
      </c>
      <c r="C84" s="480">
        <f>SUM(C80:C83)</f>
        <v>195</v>
      </c>
    </row>
    <row r="90" spans="1:10">
      <c r="I90" s="475" t="s">
        <v>559</v>
      </c>
    </row>
    <row r="92" spans="1:10">
      <c r="A92" s="475">
        <v>7</v>
      </c>
      <c r="B92" s="475" t="s">
        <v>537</v>
      </c>
      <c r="I92" s="477" t="s">
        <v>560</v>
      </c>
      <c r="J92" s="479">
        <v>68</v>
      </c>
    </row>
    <row r="93" spans="1:10">
      <c r="I93" s="477" t="s">
        <v>561</v>
      </c>
      <c r="J93" s="479">
        <v>30</v>
      </c>
    </row>
    <row r="94" spans="1:10">
      <c r="B94" s="479" t="s">
        <v>539</v>
      </c>
      <c r="C94" s="479">
        <v>55</v>
      </c>
      <c r="I94" s="477" t="s">
        <v>562</v>
      </c>
      <c r="J94" s="479">
        <v>40</v>
      </c>
    </row>
    <row r="95" spans="1:10">
      <c r="B95" s="479" t="s">
        <v>538</v>
      </c>
      <c r="C95" s="479">
        <v>62</v>
      </c>
      <c r="I95" s="477" t="s">
        <v>563</v>
      </c>
      <c r="J95" s="479">
        <v>57</v>
      </c>
    </row>
    <row r="96" spans="1:10">
      <c r="B96" s="479" t="s">
        <v>540</v>
      </c>
      <c r="C96" s="479">
        <v>78</v>
      </c>
      <c r="I96" s="480" t="s">
        <v>46</v>
      </c>
      <c r="J96" s="480">
        <f>SUM(J92:J95)</f>
        <v>195</v>
      </c>
    </row>
    <row r="97" spans="2:10">
      <c r="B97" s="480" t="s">
        <v>46</v>
      </c>
      <c r="C97" s="480">
        <f>SUM(C94:C96)</f>
        <v>195</v>
      </c>
    </row>
    <row r="108" spans="2:10">
      <c r="I108" s="475" t="s">
        <v>564</v>
      </c>
    </row>
    <row r="110" spans="2:10">
      <c r="I110" s="479" t="s">
        <v>565</v>
      </c>
      <c r="J110" s="479">
        <v>46</v>
      </c>
    </row>
    <row r="111" spans="2:10">
      <c r="I111" s="479" t="s">
        <v>566</v>
      </c>
      <c r="J111" s="479">
        <v>40</v>
      </c>
    </row>
    <row r="112" spans="2:10">
      <c r="I112" s="479" t="s">
        <v>570</v>
      </c>
      <c r="J112" s="479">
        <v>28</v>
      </c>
    </row>
    <row r="113" spans="9:10">
      <c r="I113" s="479" t="s">
        <v>567</v>
      </c>
      <c r="J113" s="479">
        <v>32</v>
      </c>
    </row>
    <row r="114" spans="9:10">
      <c r="I114" s="479" t="s">
        <v>568</v>
      </c>
      <c r="J114" s="479">
        <v>24</v>
      </c>
    </row>
    <row r="115" spans="9:10">
      <c r="I115" s="479" t="s">
        <v>569</v>
      </c>
      <c r="J115" s="479">
        <v>25</v>
      </c>
    </row>
    <row r="116" spans="9:10">
      <c r="I116" s="480"/>
      <c r="J116" s="480">
        <f>SUM(J110:J115)</f>
        <v>195</v>
      </c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8"/>
  <sheetViews>
    <sheetView showGridLines="0" workbookViewId="0">
      <selection activeCell="M22" sqref="M22"/>
    </sheetView>
  </sheetViews>
  <sheetFormatPr baseColWidth="10" defaultRowHeight="15"/>
  <cols>
    <col min="1" max="1" width="8.5703125" customWidth="1"/>
    <col min="225" max="230" width="2.28515625" customWidth="1"/>
    <col min="231" max="231" width="4.42578125" customWidth="1"/>
    <col min="232" max="233" width="2.28515625" customWidth="1"/>
    <col min="234" max="234" width="2.140625" customWidth="1"/>
    <col min="235" max="236" width="2.28515625" customWidth="1"/>
    <col min="237" max="237" width="3.42578125" customWidth="1"/>
    <col min="238" max="240" width="2.28515625" customWidth="1"/>
    <col min="241" max="241" width="3.28515625" customWidth="1"/>
    <col min="242" max="242" width="3.42578125" customWidth="1"/>
    <col min="243" max="243" width="1.7109375" customWidth="1"/>
    <col min="244" max="244" width="2.28515625" customWidth="1"/>
    <col min="245" max="245" width="3" customWidth="1"/>
    <col min="246" max="246" width="2.28515625" customWidth="1"/>
    <col min="247" max="247" width="2.5703125" customWidth="1"/>
    <col min="248" max="248" width="4.7109375" customWidth="1"/>
    <col min="249" max="250" width="2.28515625" customWidth="1"/>
    <col min="251" max="251" width="3.140625" customWidth="1"/>
    <col min="252" max="252" width="2.28515625" customWidth="1"/>
    <col min="253" max="253" width="4.7109375" customWidth="1"/>
    <col min="254" max="254" width="2.28515625" customWidth="1"/>
    <col min="255" max="255" width="1.5703125" customWidth="1"/>
    <col min="256" max="256" width="2.28515625" customWidth="1"/>
    <col min="257" max="257" width="3.5703125" customWidth="1"/>
    <col min="481" max="486" width="2.28515625" customWidth="1"/>
    <col min="487" max="487" width="4.42578125" customWidth="1"/>
    <col min="488" max="489" width="2.28515625" customWidth="1"/>
    <col min="490" max="490" width="2.140625" customWidth="1"/>
    <col min="491" max="492" width="2.28515625" customWidth="1"/>
    <col min="493" max="493" width="3.42578125" customWidth="1"/>
    <col min="494" max="496" width="2.28515625" customWidth="1"/>
    <col min="497" max="497" width="3.28515625" customWidth="1"/>
    <col min="498" max="498" width="3.42578125" customWidth="1"/>
    <col min="499" max="499" width="1.7109375" customWidth="1"/>
    <col min="500" max="500" width="2.28515625" customWidth="1"/>
    <col min="501" max="501" width="3" customWidth="1"/>
    <col min="502" max="502" width="2.28515625" customWidth="1"/>
    <col min="503" max="503" width="2.5703125" customWidth="1"/>
    <col min="504" max="504" width="4.7109375" customWidth="1"/>
    <col min="505" max="506" width="2.28515625" customWidth="1"/>
    <col min="507" max="507" width="3.140625" customWidth="1"/>
    <col min="508" max="508" width="2.28515625" customWidth="1"/>
    <col min="509" max="509" width="4.7109375" customWidth="1"/>
    <col min="510" max="510" width="2.28515625" customWidth="1"/>
    <col min="511" max="511" width="1.5703125" customWidth="1"/>
    <col min="512" max="512" width="2.28515625" customWidth="1"/>
    <col min="513" max="513" width="3.5703125" customWidth="1"/>
    <col min="737" max="742" width="2.28515625" customWidth="1"/>
    <col min="743" max="743" width="4.42578125" customWidth="1"/>
    <col min="744" max="745" width="2.28515625" customWidth="1"/>
    <col min="746" max="746" width="2.140625" customWidth="1"/>
    <col min="747" max="748" width="2.28515625" customWidth="1"/>
    <col min="749" max="749" width="3.42578125" customWidth="1"/>
    <col min="750" max="752" width="2.28515625" customWidth="1"/>
    <col min="753" max="753" width="3.28515625" customWidth="1"/>
    <col min="754" max="754" width="3.42578125" customWidth="1"/>
    <col min="755" max="755" width="1.7109375" customWidth="1"/>
    <col min="756" max="756" width="2.28515625" customWidth="1"/>
    <col min="757" max="757" width="3" customWidth="1"/>
    <col min="758" max="758" width="2.28515625" customWidth="1"/>
    <col min="759" max="759" width="2.5703125" customWidth="1"/>
    <col min="760" max="760" width="4.7109375" customWidth="1"/>
    <col min="761" max="762" width="2.28515625" customWidth="1"/>
    <col min="763" max="763" width="3.140625" customWidth="1"/>
    <col min="764" max="764" width="2.28515625" customWidth="1"/>
    <col min="765" max="765" width="4.7109375" customWidth="1"/>
    <col min="766" max="766" width="2.28515625" customWidth="1"/>
    <col min="767" max="767" width="1.5703125" customWidth="1"/>
    <col min="768" max="768" width="2.28515625" customWidth="1"/>
    <col min="769" max="769" width="3.5703125" customWidth="1"/>
    <col min="993" max="998" width="2.28515625" customWidth="1"/>
    <col min="999" max="999" width="4.42578125" customWidth="1"/>
    <col min="1000" max="1001" width="2.28515625" customWidth="1"/>
    <col min="1002" max="1002" width="2.140625" customWidth="1"/>
    <col min="1003" max="1004" width="2.28515625" customWidth="1"/>
    <col min="1005" max="1005" width="3.42578125" customWidth="1"/>
    <col min="1006" max="1008" width="2.28515625" customWidth="1"/>
    <col min="1009" max="1009" width="3.28515625" customWidth="1"/>
    <col min="1010" max="1010" width="3.42578125" customWidth="1"/>
    <col min="1011" max="1011" width="1.7109375" customWidth="1"/>
    <col min="1012" max="1012" width="2.28515625" customWidth="1"/>
    <col min="1013" max="1013" width="3" customWidth="1"/>
    <col min="1014" max="1014" width="2.28515625" customWidth="1"/>
    <col min="1015" max="1015" width="2.5703125" customWidth="1"/>
    <col min="1016" max="1016" width="4.7109375" customWidth="1"/>
    <col min="1017" max="1018" width="2.28515625" customWidth="1"/>
    <col min="1019" max="1019" width="3.140625" customWidth="1"/>
    <col min="1020" max="1020" width="2.28515625" customWidth="1"/>
    <col min="1021" max="1021" width="4.7109375" customWidth="1"/>
    <col min="1022" max="1022" width="2.28515625" customWidth="1"/>
    <col min="1023" max="1023" width="1.5703125" customWidth="1"/>
    <col min="1024" max="1024" width="2.28515625" customWidth="1"/>
    <col min="1025" max="1025" width="3.5703125" customWidth="1"/>
    <col min="1249" max="1254" width="2.28515625" customWidth="1"/>
    <col min="1255" max="1255" width="4.42578125" customWidth="1"/>
    <col min="1256" max="1257" width="2.28515625" customWidth="1"/>
    <col min="1258" max="1258" width="2.140625" customWidth="1"/>
    <col min="1259" max="1260" width="2.28515625" customWidth="1"/>
    <col min="1261" max="1261" width="3.42578125" customWidth="1"/>
    <col min="1262" max="1264" width="2.28515625" customWidth="1"/>
    <col min="1265" max="1265" width="3.28515625" customWidth="1"/>
    <col min="1266" max="1266" width="3.42578125" customWidth="1"/>
    <col min="1267" max="1267" width="1.7109375" customWidth="1"/>
    <col min="1268" max="1268" width="2.28515625" customWidth="1"/>
    <col min="1269" max="1269" width="3" customWidth="1"/>
    <col min="1270" max="1270" width="2.28515625" customWidth="1"/>
    <col min="1271" max="1271" width="2.5703125" customWidth="1"/>
    <col min="1272" max="1272" width="4.7109375" customWidth="1"/>
    <col min="1273" max="1274" width="2.28515625" customWidth="1"/>
    <col min="1275" max="1275" width="3.140625" customWidth="1"/>
    <col min="1276" max="1276" width="2.28515625" customWidth="1"/>
    <col min="1277" max="1277" width="4.7109375" customWidth="1"/>
    <col min="1278" max="1278" width="2.28515625" customWidth="1"/>
    <col min="1279" max="1279" width="1.5703125" customWidth="1"/>
    <col min="1280" max="1280" width="2.28515625" customWidth="1"/>
    <col min="1281" max="1281" width="3.5703125" customWidth="1"/>
    <col min="1505" max="1510" width="2.28515625" customWidth="1"/>
    <col min="1511" max="1511" width="4.42578125" customWidth="1"/>
    <col min="1512" max="1513" width="2.28515625" customWidth="1"/>
    <col min="1514" max="1514" width="2.140625" customWidth="1"/>
    <col min="1515" max="1516" width="2.28515625" customWidth="1"/>
    <col min="1517" max="1517" width="3.42578125" customWidth="1"/>
    <col min="1518" max="1520" width="2.28515625" customWidth="1"/>
    <col min="1521" max="1521" width="3.28515625" customWidth="1"/>
    <col min="1522" max="1522" width="3.42578125" customWidth="1"/>
    <col min="1523" max="1523" width="1.7109375" customWidth="1"/>
    <col min="1524" max="1524" width="2.28515625" customWidth="1"/>
    <col min="1525" max="1525" width="3" customWidth="1"/>
    <col min="1526" max="1526" width="2.28515625" customWidth="1"/>
    <col min="1527" max="1527" width="2.5703125" customWidth="1"/>
    <col min="1528" max="1528" width="4.7109375" customWidth="1"/>
    <col min="1529" max="1530" width="2.28515625" customWidth="1"/>
    <col min="1531" max="1531" width="3.140625" customWidth="1"/>
    <col min="1532" max="1532" width="2.28515625" customWidth="1"/>
    <col min="1533" max="1533" width="4.7109375" customWidth="1"/>
    <col min="1534" max="1534" width="2.28515625" customWidth="1"/>
    <col min="1535" max="1535" width="1.5703125" customWidth="1"/>
    <col min="1536" max="1536" width="2.28515625" customWidth="1"/>
    <col min="1537" max="1537" width="3.5703125" customWidth="1"/>
    <col min="1761" max="1766" width="2.28515625" customWidth="1"/>
    <col min="1767" max="1767" width="4.42578125" customWidth="1"/>
    <col min="1768" max="1769" width="2.28515625" customWidth="1"/>
    <col min="1770" max="1770" width="2.140625" customWidth="1"/>
    <col min="1771" max="1772" width="2.28515625" customWidth="1"/>
    <col min="1773" max="1773" width="3.42578125" customWidth="1"/>
    <col min="1774" max="1776" width="2.28515625" customWidth="1"/>
    <col min="1777" max="1777" width="3.28515625" customWidth="1"/>
    <col min="1778" max="1778" width="3.42578125" customWidth="1"/>
    <col min="1779" max="1779" width="1.7109375" customWidth="1"/>
    <col min="1780" max="1780" width="2.28515625" customWidth="1"/>
    <col min="1781" max="1781" width="3" customWidth="1"/>
    <col min="1782" max="1782" width="2.28515625" customWidth="1"/>
    <col min="1783" max="1783" width="2.5703125" customWidth="1"/>
    <col min="1784" max="1784" width="4.7109375" customWidth="1"/>
    <col min="1785" max="1786" width="2.28515625" customWidth="1"/>
    <col min="1787" max="1787" width="3.140625" customWidth="1"/>
    <col min="1788" max="1788" width="2.28515625" customWidth="1"/>
    <col min="1789" max="1789" width="4.7109375" customWidth="1"/>
    <col min="1790" max="1790" width="2.28515625" customWidth="1"/>
    <col min="1791" max="1791" width="1.5703125" customWidth="1"/>
    <col min="1792" max="1792" width="2.28515625" customWidth="1"/>
    <col min="1793" max="1793" width="3.5703125" customWidth="1"/>
    <col min="2017" max="2022" width="2.28515625" customWidth="1"/>
    <col min="2023" max="2023" width="4.42578125" customWidth="1"/>
    <col min="2024" max="2025" width="2.28515625" customWidth="1"/>
    <col min="2026" max="2026" width="2.140625" customWidth="1"/>
    <col min="2027" max="2028" width="2.28515625" customWidth="1"/>
    <col min="2029" max="2029" width="3.42578125" customWidth="1"/>
    <col min="2030" max="2032" width="2.28515625" customWidth="1"/>
    <col min="2033" max="2033" width="3.28515625" customWidth="1"/>
    <col min="2034" max="2034" width="3.42578125" customWidth="1"/>
    <col min="2035" max="2035" width="1.7109375" customWidth="1"/>
    <col min="2036" max="2036" width="2.28515625" customWidth="1"/>
    <col min="2037" max="2037" width="3" customWidth="1"/>
    <col min="2038" max="2038" width="2.28515625" customWidth="1"/>
    <col min="2039" max="2039" width="2.5703125" customWidth="1"/>
    <col min="2040" max="2040" width="4.7109375" customWidth="1"/>
    <col min="2041" max="2042" width="2.28515625" customWidth="1"/>
    <col min="2043" max="2043" width="3.140625" customWidth="1"/>
    <col min="2044" max="2044" width="2.28515625" customWidth="1"/>
    <col min="2045" max="2045" width="4.7109375" customWidth="1"/>
    <col min="2046" max="2046" width="2.28515625" customWidth="1"/>
    <col min="2047" max="2047" width="1.5703125" customWidth="1"/>
    <col min="2048" max="2048" width="2.28515625" customWidth="1"/>
    <col min="2049" max="2049" width="3.5703125" customWidth="1"/>
    <col min="2273" max="2278" width="2.28515625" customWidth="1"/>
    <col min="2279" max="2279" width="4.42578125" customWidth="1"/>
    <col min="2280" max="2281" width="2.28515625" customWidth="1"/>
    <col min="2282" max="2282" width="2.140625" customWidth="1"/>
    <col min="2283" max="2284" width="2.28515625" customWidth="1"/>
    <col min="2285" max="2285" width="3.42578125" customWidth="1"/>
    <col min="2286" max="2288" width="2.28515625" customWidth="1"/>
    <col min="2289" max="2289" width="3.28515625" customWidth="1"/>
    <col min="2290" max="2290" width="3.42578125" customWidth="1"/>
    <col min="2291" max="2291" width="1.7109375" customWidth="1"/>
    <col min="2292" max="2292" width="2.28515625" customWidth="1"/>
    <col min="2293" max="2293" width="3" customWidth="1"/>
    <col min="2294" max="2294" width="2.28515625" customWidth="1"/>
    <col min="2295" max="2295" width="2.5703125" customWidth="1"/>
    <col min="2296" max="2296" width="4.7109375" customWidth="1"/>
    <col min="2297" max="2298" width="2.28515625" customWidth="1"/>
    <col min="2299" max="2299" width="3.140625" customWidth="1"/>
    <col min="2300" max="2300" width="2.28515625" customWidth="1"/>
    <col min="2301" max="2301" width="4.7109375" customWidth="1"/>
    <col min="2302" max="2302" width="2.28515625" customWidth="1"/>
    <col min="2303" max="2303" width="1.5703125" customWidth="1"/>
    <col min="2304" max="2304" width="2.28515625" customWidth="1"/>
    <col min="2305" max="2305" width="3.5703125" customWidth="1"/>
    <col min="2529" max="2534" width="2.28515625" customWidth="1"/>
    <col min="2535" max="2535" width="4.42578125" customWidth="1"/>
    <col min="2536" max="2537" width="2.28515625" customWidth="1"/>
    <col min="2538" max="2538" width="2.140625" customWidth="1"/>
    <col min="2539" max="2540" width="2.28515625" customWidth="1"/>
    <col min="2541" max="2541" width="3.42578125" customWidth="1"/>
    <col min="2542" max="2544" width="2.28515625" customWidth="1"/>
    <col min="2545" max="2545" width="3.28515625" customWidth="1"/>
    <col min="2546" max="2546" width="3.42578125" customWidth="1"/>
    <col min="2547" max="2547" width="1.7109375" customWidth="1"/>
    <col min="2548" max="2548" width="2.28515625" customWidth="1"/>
    <col min="2549" max="2549" width="3" customWidth="1"/>
    <col min="2550" max="2550" width="2.28515625" customWidth="1"/>
    <col min="2551" max="2551" width="2.5703125" customWidth="1"/>
    <col min="2552" max="2552" width="4.7109375" customWidth="1"/>
    <col min="2553" max="2554" width="2.28515625" customWidth="1"/>
    <col min="2555" max="2555" width="3.140625" customWidth="1"/>
    <col min="2556" max="2556" width="2.28515625" customWidth="1"/>
    <col min="2557" max="2557" width="4.7109375" customWidth="1"/>
    <col min="2558" max="2558" width="2.28515625" customWidth="1"/>
    <col min="2559" max="2559" width="1.5703125" customWidth="1"/>
    <col min="2560" max="2560" width="2.28515625" customWidth="1"/>
    <col min="2561" max="2561" width="3.5703125" customWidth="1"/>
    <col min="2785" max="2790" width="2.28515625" customWidth="1"/>
    <col min="2791" max="2791" width="4.42578125" customWidth="1"/>
    <col min="2792" max="2793" width="2.28515625" customWidth="1"/>
    <col min="2794" max="2794" width="2.140625" customWidth="1"/>
    <col min="2795" max="2796" width="2.28515625" customWidth="1"/>
    <col min="2797" max="2797" width="3.42578125" customWidth="1"/>
    <col min="2798" max="2800" width="2.28515625" customWidth="1"/>
    <col min="2801" max="2801" width="3.28515625" customWidth="1"/>
    <col min="2802" max="2802" width="3.42578125" customWidth="1"/>
    <col min="2803" max="2803" width="1.7109375" customWidth="1"/>
    <col min="2804" max="2804" width="2.28515625" customWidth="1"/>
    <col min="2805" max="2805" width="3" customWidth="1"/>
    <col min="2806" max="2806" width="2.28515625" customWidth="1"/>
    <col min="2807" max="2807" width="2.5703125" customWidth="1"/>
    <col min="2808" max="2808" width="4.7109375" customWidth="1"/>
    <col min="2809" max="2810" width="2.28515625" customWidth="1"/>
    <col min="2811" max="2811" width="3.140625" customWidth="1"/>
    <col min="2812" max="2812" width="2.28515625" customWidth="1"/>
    <col min="2813" max="2813" width="4.7109375" customWidth="1"/>
    <col min="2814" max="2814" width="2.28515625" customWidth="1"/>
    <col min="2815" max="2815" width="1.5703125" customWidth="1"/>
    <col min="2816" max="2816" width="2.28515625" customWidth="1"/>
    <col min="2817" max="2817" width="3.5703125" customWidth="1"/>
    <col min="3041" max="3046" width="2.28515625" customWidth="1"/>
    <col min="3047" max="3047" width="4.42578125" customWidth="1"/>
    <col min="3048" max="3049" width="2.28515625" customWidth="1"/>
    <col min="3050" max="3050" width="2.140625" customWidth="1"/>
    <col min="3051" max="3052" width="2.28515625" customWidth="1"/>
    <col min="3053" max="3053" width="3.42578125" customWidth="1"/>
    <col min="3054" max="3056" width="2.28515625" customWidth="1"/>
    <col min="3057" max="3057" width="3.28515625" customWidth="1"/>
    <col min="3058" max="3058" width="3.42578125" customWidth="1"/>
    <col min="3059" max="3059" width="1.7109375" customWidth="1"/>
    <col min="3060" max="3060" width="2.28515625" customWidth="1"/>
    <col min="3061" max="3061" width="3" customWidth="1"/>
    <col min="3062" max="3062" width="2.28515625" customWidth="1"/>
    <col min="3063" max="3063" width="2.5703125" customWidth="1"/>
    <col min="3064" max="3064" width="4.7109375" customWidth="1"/>
    <col min="3065" max="3066" width="2.28515625" customWidth="1"/>
    <col min="3067" max="3067" width="3.140625" customWidth="1"/>
    <col min="3068" max="3068" width="2.28515625" customWidth="1"/>
    <col min="3069" max="3069" width="4.7109375" customWidth="1"/>
    <col min="3070" max="3070" width="2.28515625" customWidth="1"/>
    <col min="3071" max="3071" width="1.5703125" customWidth="1"/>
    <col min="3072" max="3072" width="2.28515625" customWidth="1"/>
    <col min="3073" max="3073" width="3.5703125" customWidth="1"/>
    <col min="3297" max="3302" width="2.28515625" customWidth="1"/>
    <col min="3303" max="3303" width="4.42578125" customWidth="1"/>
    <col min="3304" max="3305" width="2.28515625" customWidth="1"/>
    <col min="3306" max="3306" width="2.140625" customWidth="1"/>
    <col min="3307" max="3308" width="2.28515625" customWidth="1"/>
    <col min="3309" max="3309" width="3.42578125" customWidth="1"/>
    <col min="3310" max="3312" width="2.28515625" customWidth="1"/>
    <col min="3313" max="3313" width="3.28515625" customWidth="1"/>
    <col min="3314" max="3314" width="3.42578125" customWidth="1"/>
    <col min="3315" max="3315" width="1.7109375" customWidth="1"/>
    <col min="3316" max="3316" width="2.28515625" customWidth="1"/>
    <col min="3317" max="3317" width="3" customWidth="1"/>
    <col min="3318" max="3318" width="2.28515625" customWidth="1"/>
    <col min="3319" max="3319" width="2.5703125" customWidth="1"/>
    <col min="3320" max="3320" width="4.7109375" customWidth="1"/>
    <col min="3321" max="3322" width="2.28515625" customWidth="1"/>
    <col min="3323" max="3323" width="3.140625" customWidth="1"/>
    <col min="3324" max="3324" width="2.28515625" customWidth="1"/>
    <col min="3325" max="3325" width="4.7109375" customWidth="1"/>
    <col min="3326" max="3326" width="2.28515625" customWidth="1"/>
    <col min="3327" max="3327" width="1.5703125" customWidth="1"/>
    <col min="3328" max="3328" width="2.28515625" customWidth="1"/>
    <col min="3329" max="3329" width="3.5703125" customWidth="1"/>
    <col min="3553" max="3558" width="2.28515625" customWidth="1"/>
    <col min="3559" max="3559" width="4.42578125" customWidth="1"/>
    <col min="3560" max="3561" width="2.28515625" customWidth="1"/>
    <col min="3562" max="3562" width="2.140625" customWidth="1"/>
    <col min="3563" max="3564" width="2.28515625" customWidth="1"/>
    <col min="3565" max="3565" width="3.42578125" customWidth="1"/>
    <col min="3566" max="3568" width="2.28515625" customWidth="1"/>
    <col min="3569" max="3569" width="3.28515625" customWidth="1"/>
    <col min="3570" max="3570" width="3.42578125" customWidth="1"/>
    <col min="3571" max="3571" width="1.7109375" customWidth="1"/>
    <col min="3572" max="3572" width="2.28515625" customWidth="1"/>
    <col min="3573" max="3573" width="3" customWidth="1"/>
    <col min="3574" max="3574" width="2.28515625" customWidth="1"/>
    <col min="3575" max="3575" width="2.5703125" customWidth="1"/>
    <col min="3576" max="3576" width="4.7109375" customWidth="1"/>
    <col min="3577" max="3578" width="2.28515625" customWidth="1"/>
    <col min="3579" max="3579" width="3.140625" customWidth="1"/>
    <col min="3580" max="3580" width="2.28515625" customWidth="1"/>
    <col min="3581" max="3581" width="4.7109375" customWidth="1"/>
    <col min="3582" max="3582" width="2.28515625" customWidth="1"/>
    <col min="3583" max="3583" width="1.5703125" customWidth="1"/>
    <col min="3584" max="3584" width="2.28515625" customWidth="1"/>
    <col min="3585" max="3585" width="3.5703125" customWidth="1"/>
    <col min="3809" max="3814" width="2.28515625" customWidth="1"/>
    <col min="3815" max="3815" width="4.42578125" customWidth="1"/>
    <col min="3816" max="3817" width="2.28515625" customWidth="1"/>
    <col min="3818" max="3818" width="2.140625" customWidth="1"/>
    <col min="3819" max="3820" width="2.28515625" customWidth="1"/>
    <col min="3821" max="3821" width="3.42578125" customWidth="1"/>
    <col min="3822" max="3824" width="2.28515625" customWidth="1"/>
    <col min="3825" max="3825" width="3.28515625" customWidth="1"/>
    <col min="3826" max="3826" width="3.42578125" customWidth="1"/>
    <col min="3827" max="3827" width="1.7109375" customWidth="1"/>
    <col min="3828" max="3828" width="2.28515625" customWidth="1"/>
    <col min="3829" max="3829" width="3" customWidth="1"/>
    <col min="3830" max="3830" width="2.28515625" customWidth="1"/>
    <col min="3831" max="3831" width="2.5703125" customWidth="1"/>
    <col min="3832" max="3832" width="4.7109375" customWidth="1"/>
    <col min="3833" max="3834" width="2.28515625" customWidth="1"/>
    <col min="3835" max="3835" width="3.140625" customWidth="1"/>
    <col min="3836" max="3836" width="2.28515625" customWidth="1"/>
    <col min="3837" max="3837" width="4.7109375" customWidth="1"/>
    <col min="3838" max="3838" width="2.28515625" customWidth="1"/>
    <col min="3839" max="3839" width="1.5703125" customWidth="1"/>
    <col min="3840" max="3840" width="2.28515625" customWidth="1"/>
    <col min="3841" max="3841" width="3.5703125" customWidth="1"/>
    <col min="4065" max="4070" width="2.28515625" customWidth="1"/>
    <col min="4071" max="4071" width="4.42578125" customWidth="1"/>
    <col min="4072" max="4073" width="2.28515625" customWidth="1"/>
    <col min="4074" max="4074" width="2.140625" customWidth="1"/>
    <col min="4075" max="4076" width="2.28515625" customWidth="1"/>
    <col min="4077" max="4077" width="3.42578125" customWidth="1"/>
    <col min="4078" max="4080" width="2.28515625" customWidth="1"/>
    <col min="4081" max="4081" width="3.28515625" customWidth="1"/>
    <col min="4082" max="4082" width="3.42578125" customWidth="1"/>
    <col min="4083" max="4083" width="1.7109375" customWidth="1"/>
    <col min="4084" max="4084" width="2.28515625" customWidth="1"/>
    <col min="4085" max="4085" width="3" customWidth="1"/>
    <col min="4086" max="4086" width="2.28515625" customWidth="1"/>
    <col min="4087" max="4087" width="2.5703125" customWidth="1"/>
    <col min="4088" max="4088" width="4.7109375" customWidth="1"/>
    <col min="4089" max="4090" width="2.28515625" customWidth="1"/>
    <col min="4091" max="4091" width="3.140625" customWidth="1"/>
    <col min="4092" max="4092" width="2.28515625" customWidth="1"/>
    <col min="4093" max="4093" width="4.7109375" customWidth="1"/>
    <col min="4094" max="4094" width="2.28515625" customWidth="1"/>
    <col min="4095" max="4095" width="1.5703125" customWidth="1"/>
    <col min="4096" max="4096" width="2.28515625" customWidth="1"/>
    <col min="4097" max="4097" width="3.5703125" customWidth="1"/>
    <col min="4321" max="4326" width="2.28515625" customWidth="1"/>
    <col min="4327" max="4327" width="4.42578125" customWidth="1"/>
    <col min="4328" max="4329" width="2.28515625" customWidth="1"/>
    <col min="4330" max="4330" width="2.140625" customWidth="1"/>
    <col min="4331" max="4332" width="2.28515625" customWidth="1"/>
    <col min="4333" max="4333" width="3.42578125" customWidth="1"/>
    <col min="4334" max="4336" width="2.28515625" customWidth="1"/>
    <col min="4337" max="4337" width="3.28515625" customWidth="1"/>
    <col min="4338" max="4338" width="3.42578125" customWidth="1"/>
    <col min="4339" max="4339" width="1.7109375" customWidth="1"/>
    <col min="4340" max="4340" width="2.28515625" customWidth="1"/>
    <col min="4341" max="4341" width="3" customWidth="1"/>
    <col min="4342" max="4342" width="2.28515625" customWidth="1"/>
    <col min="4343" max="4343" width="2.5703125" customWidth="1"/>
    <col min="4344" max="4344" width="4.7109375" customWidth="1"/>
    <col min="4345" max="4346" width="2.28515625" customWidth="1"/>
    <col min="4347" max="4347" width="3.140625" customWidth="1"/>
    <col min="4348" max="4348" width="2.28515625" customWidth="1"/>
    <col min="4349" max="4349" width="4.7109375" customWidth="1"/>
    <col min="4350" max="4350" width="2.28515625" customWidth="1"/>
    <col min="4351" max="4351" width="1.5703125" customWidth="1"/>
    <col min="4352" max="4352" width="2.28515625" customWidth="1"/>
    <col min="4353" max="4353" width="3.5703125" customWidth="1"/>
    <col min="4577" max="4582" width="2.28515625" customWidth="1"/>
    <col min="4583" max="4583" width="4.42578125" customWidth="1"/>
    <col min="4584" max="4585" width="2.28515625" customWidth="1"/>
    <col min="4586" max="4586" width="2.140625" customWidth="1"/>
    <col min="4587" max="4588" width="2.28515625" customWidth="1"/>
    <col min="4589" max="4589" width="3.42578125" customWidth="1"/>
    <col min="4590" max="4592" width="2.28515625" customWidth="1"/>
    <col min="4593" max="4593" width="3.28515625" customWidth="1"/>
    <col min="4594" max="4594" width="3.42578125" customWidth="1"/>
    <col min="4595" max="4595" width="1.7109375" customWidth="1"/>
    <col min="4596" max="4596" width="2.28515625" customWidth="1"/>
    <col min="4597" max="4597" width="3" customWidth="1"/>
    <col min="4598" max="4598" width="2.28515625" customWidth="1"/>
    <col min="4599" max="4599" width="2.5703125" customWidth="1"/>
    <col min="4600" max="4600" width="4.7109375" customWidth="1"/>
    <col min="4601" max="4602" width="2.28515625" customWidth="1"/>
    <col min="4603" max="4603" width="3.140625" customWidth="1"/>
    <col min="4604" max="4604" width="2.28515625" customWidth="1"/>
    <col min="4605" max="4605" width="4.7109375" customWidth="1"/>
    <col min="4606" max="4606" width="2.28515625" customWidth="1"/>
    <col min="4607" max="4607" width="1.5703125" customWidth="1"/>
    <col min="4608" max="4608" width="2.28515625" customWidth="1"/>
    <col min="4609" max="4609" width="3.5703125" customWidth="1"/>
    <col min="4833" max="4838" width="2.28515625" customWidth="1"/>
    <col min="4839" max="4839" width="4.42578125" customWidth="1"/>
    <col min="4840" max="4841" width="2.28515625" customWidth="1"/>
    <col min="4842" max="4842" width="2.140625" customWidth="1"/>
    <col min="4843" max="4844" width="2.28515625" customWidth="1"/>
    <col min="4845" max="4845" width="3.42578125" customWidth="1"/>
    <col min="4846" max="4848" width="2.28515625" customWidth="1"/>
    <col min="4849" max="4849" width="3.28515625" customWidth="1"/>
    <col min="4850" max="4850" width="3.42578125" customWidth="1"/>
    <col min="4851" max="4851" width="1.7109375" customWidth="1"/>
    <col min="4852" max="4852" width="2.28515625" customWidth="1"/>
    <col min="4853" max="4853" width="3" customWidth="1"/>
    <col min="4854" max="4854" width="2.28515625" customWidth="1"/>
    <col min="4855" max="4855" width="2.5703125" customWidth="1"/>
    <col min="4856" max="4856" width="4.7109375" customWidth="1"/>
    <col min="4857" max="4858" width="2.28515625" customWidth="1"/>
    <col min="4859" max="4859" width="3.140625" customWidth="1"/>
    <col min="4860" max="4860" width="2.28515625" customWidth="1"/>
    <col min="4861" max="4861" width="4.7109375" customWidth="1"/>
    <col min="4862" max="4862" width="2.28515625" customWidth="1"/>
    <col min="4863" max="4863" width="1.5703125" customWidth="1"/>
    <col min="4864" max="4864" width="2.28515625" customWidth="1"/>
    <col min="4865" max="4865" width="3.5703125" customWidth="1"/>
    <col min="5089" max="5094" width="2.28515625" customWidth="1"/>
    <col min="5095" max="5095" width="4.42578125" customWidth="1"/>
    <col min="5096" max="5097" width="2.28515625" customWidth="1"/>
    <col min="5098" max="5098" width="2.140625" customWidth="1"/>
    <col min="5099" max="5100" width="2.28515625" customWidth="1"/>
    <col min="5101" max="5101" width="3.42578125" customWidth="1"/>
    <col min="5102" max="5104" width="2.28515625" customWidth="1"/>
    <col min="5105" max="5105" width="3.28515625" customWidth="1"/>
    <col min="5106" max="5106" width="3.42578125" customWidth="1"/>
    <col min="5107" max="5107" width="1.7109375" customWidth="1"/>
    <col min="5108" max="5108" width="2.28515625" customWidth="1"/>
    <col min="5109" max="5109" width="3" customWidth="1"/>
    <col min="5110" max="5110" width="2.28515625" customWidth="1"/>
    <col min="5111" max="5111" width="2.5703125" customWidth="1"/>
    <col min="5112" max="5112" width="4.7109375" customWidth="1"/>
    <col min="5113" max="5114" width="2.28515625" customWidth="1"/>
    <col min="5115" max="5115" width="3.140625" customWidth="1"/>
    <col min="5116" max="5116" width="2.28515625" customWidth="1"/>
    <col min="5117" max="5117" width="4.7109375" customWidth="1"/>
    <col min="5118" max="5118" width="2.28515625" customWidth="1"/>
    <col min="5119" max="5119" width="1.5703125" customWidth="1"/>
    <col min="5120" max="5120" width="2.28515625" customWidth="1"/>
    <col min="5121" max="5121" width="3.5703125" customWidth="1"/>
    <col min="5345" max="5350" width="2.28515625" customWidth="1"/>
    <col min="5351" max="5351" width="4.42578125" customWidth="1"/>
    <col min="5352" max="5353" width="2.28515625" customWidth="1"/>
    <col min="5354" max="5354" width="2.140625" customWidth="1"/>
    <col min="5355" max="5356" width="2.28515625" customWidth="1"/>
    <col min="5357" max="5357" width="3.42578125" customWidth="1"/>
    <col min="5358" max="5360" width="2.28515625" customWidth="1"/>
    <col min="5361" max="5361" width="3.28515625" customWidth="1"/>
    <col min="5362" max="5362" width="3.42578125" customWidth="1"/>
    <col min="5363" max="5363" width="1.7109375" customWidth="1"/>
    <col min="5364" max="5364" width="2.28515625" customWidth="1"/>
    <col min="5365" max="5365" width="3" customWidth="1"/>
    <col min="5366" max="5366" width="2.28515625" customWidth="1"/>
    <col min="5367" max="5367" width="2.5703125" customWidth="1"/>
    <col min="5368" max="5368" width="4.7109375" customWidth="1"/>
    <col min="5369" max="5370" width="2.28515625" customWidth="1"/>
    <col min="5371" max="5371" width="3.140625" customWidth="1"/>
    <col min="5372" max="5372" width="2.28515625" customWidth="1"/>
    <col min="5373" max="5373" width="4.7109375" customWidth="1"/>
    <col min="5374" max="5374" width="2.28515625" customWidth="1"/>
    <col min="5375" max="5375" width="1.5703125" customWidth="1"/>
    <col min="5376" max="5376" width="2.28515625" customWidth="1"/>
    <col min="5377" max="5377" width="3.5703125" customWidth="1"/>
    <col min="5601" max="5606" width="2.28515625" customWidth="1"/>
    <col min="5607" max="5607" width="4.42578125" customWidth="1"/>
    <col min="5608" max="5609" width="2.28515625" customWidth="1"/>
    <col min="5610" max="5610" width="2.140625" customWidth="1"/>
    <col min="5611" max="5612" width="2.28515625" customWidth="1"/>
    <col min="5613" max="5613" width="3.42578125" customWidth="1"/>
    <col min="5614" max="5616" width="2.28515625" customWidth="1"/>
    <col min="5617" max="5617" width="3.28515625" customWidth="1"/>
    <col min="5618" max="5618" width="3.42578125" customWidth="1"/>
    <col min="5619" max="5619" width="1.7109375" customWidth="1"/>
    <col min="5620" max="5620" width="2.28515625" customWidth="1"/>
    <col min="5621" max="5621" width="3" customWidth="1"/>
    <col min="5622" max="5622" width="2.28515625" customWidth="1"/>
    <col min="5623" max="5623" width="2.5703125" customWidth="1"/>
    <col min="5624" max="5624" width="4.7109375" customWidth="1"/>
    <col min="5625" max="5626" width="2.28515625" customWidth="1"/>
    <col min="5627" max="5627" width="3.140625" customWidth="1"/>
    <col min="5628" max="5628" width="2.28515625" customWidth="1"/>
    <col min="5629" max="5629" width="4.7109375" customWidth="1"/>
    <col min="5630" max="5630" width="2.28515625" customWidth="1"/>
    <col min="5631" max="5631" width="1.5703125" customWidth="1"/>
    <col min="5632" max="5632" width="2.28515625" customWidth="1"/>
    <col min="5633" max="5633" width="3.5703125" customWidth="1"/>
    <col min="5857" max="5862" width="2.28515625" customWidth="1"/>
    <col min="5863" max="5863" width="4.42578125" customWidth="1"/>
    <col min="5864" max="5865" width="2.28515625" customWidth="1"/>
    <col min="5866" max="5866" width="2.140625" customWidth="1"/>
    <col min="5867" max="5868" width="2.28515625" customWidth="1"/>
    <col min="5869" max="5869" width="3.42578125" customWidth="1"/>
    <col min="5870" max="5872" width="2.28515625" customWidth="1"/>
    <col min="5873" max="5873" width="3.28515625" customWidth="1"/>
    <col min="5874" max="5874" width="3.42578125" customWidth="1"/>
    <col min="5875" max="5875" width="1.7109375" customWidth="1"/>
    <col min="5876" max="5876" width="2.28515625" customWidth="1"/>
    <col min="5877" max="5877" width="3" customWidth="1"/>
    <col min="5878" max="5878" width="2.28515625" customWidth="1"/>
    <col min="5879" max="5879" width="2.5703125" customWidth="1"/>
    <col min="5880" max="5880" width="4.7109375" customWidth="1"/>
    <col min="5881" max="5882" width="2.28515625" customWidth="1"/>
    <col min="5883" max="5883" width="3.140625" customWidth="1"/>
    <col min="5884" max="5884" width="2.28515625" customWidth="1"/>
    <col min="5885" max="5885" width="4.7109375" customWidth="1"/>
    <col min="5886" max="5886" width="2.28515625" customWidth="1"/>
    <col min="5887" max="5887" width="1.5703125" customWidth="1"/>
    <col min="5888" max="5888" width="2.28515625" customWidth="1"/>
    <col min="5889" max="5889" width="3.5703125" customWidth="1"/>
    <col min="6113" max="6118" width="2.28515625" customWidth="1"/>
    <col min="6119" max="6119" width="4.42578125" customWidth="1"/>
    <col min="6120" max="6121" width="2.28515625" customWidth="1"/>
    <col min="6122" max="6122" width="2.140625" customWidth="1"/>
    <col min="6123" max="6124" width="2.28515625" customWidth="1"/>
    <col min="6125" max="6125" width="3.42578125" customWidth="1"/>
    <col min="6126" max="6128" width="2.28515625" customWidth="1"/>
    <col min="6129" max="6129" width="3.28515625" customWidth="1"/>
    <col min="6130" max="6130" width="3.42578125" customWidth="1"/>
    <col min="6131" max="6131" width="1.7109375" customWidth="1"/>
    <col min="6132" max="6132" width="2.28515625" customWidth="1"/>
    <col min="6133" max="6133" width="3" customWidth="1"/>
    <col min="6134" max="6134" width="2.28515625" customWidth="1"/>
    <col min="6135" max="6135" width="2.5703125" customWidth="1"/>
    <col min="6136" max="6136" width="4.7109375" customWidth="1"/>
    <col min="6137" max="6138" width="2.28515625" customWidth="1"/>
    <col min="6139" max="6139" width="3.140625" customWidth="1"/>
    <col min="6140" max="6140" width="2.28515625" customWidth="1"/>
    <col min="6141" max="6141" width="4.7109375" customWidth="1"/>
    <col min="6142" max="6142" width="2.28515625" customWidth="1"/>
    <col min="6143" max="6143" width="1.5703125" customWidth="1"/>
    <col min="6144" max="6144" width="2.28515625" customWidth="1"/>
    <col min="6145" max="6145" width="3.5703125" customWidth="1"/>
    <col min="6369" max="6374" width="2.28515625" customWidth="1"/>
    <col min="6375" max="6375" width="4.42578125" customWidth="1"/>
    <col min="6376" max="6377" width="2.28515625" customWidth="1"/>
    <col min="6378" max="6378" width="2.140625" customWidth="1"/>
    <col min="6379" max="6380" width="2.28515625" customWidth="1"/>
    <col min="6381" max="6381" width="3.42578125" customWidth="1"/>
    <col min="6382" max="6384" width="2.28515625" customWidth="1"/>
    <col min="6385" max="6385" width="3.28515625" customWidth="1"/>
    <col min="6386" max="6386" width="3.42578125" customWidth="1"/>
    <col min="6387" max="6387" width="1.7109375" customWidth="1"/>
    <col min="6388" max="6388" width="2.28515625" customWidth="1"/>
    <col min="6389" max="6389" width="3" customWidth="1"/>
    <col min="6390" max="6390" width="2.28515625" customWidth="1"/>
    <col min="6391" max="6391" width="2.5703125" customWidth="1"/>
    <col min="6392" max="6392" width="4.7109375" customWidth="1"/>
    <col min="6393" max="6394" width="2.28515625" customWidth="1"/>
    <col min="6395" max="6395" width="3.140625" customWidth="1"/>
    <col min="6396" max="6396" width="2.28515625" customWidth="1"/>
    <col min="6397" max="6397" width="4.7109375" customWidth="1"/>
    <col min="6398" max="6398" width="2.28515625" customWidth="1"/>
    <col min="6399" max="6399" width="1.5703125" customWidth="1"/>
    <col min="6400" max="6400" width="2.28515625" customWidth="1"/>
    <col min="6401" max="6401" width="3.5703125" customWidth="1"/>
    <col min="6625" max="6630" width="2.28515625" customWidth="1"/>
    <col min="6631" max="6631" width="4.42578125" customWidth="1"/>
    <col min="6632" max="6633" width="2.28515625" customWidth="1"/>
    <col min="6634" max="6634" width="2.140625" customWidth="1"/>
    <col min="6635" max="6636" width="2.28515625" customWidth="1"/>
    <col min="6637" max="6637" width="3.42578125" customWidth="1"/>
    <col min="6638" max="6640" width="2.28515625" customWidth="1"/>
    <col min="6641" max="6641" width="3.28515625" customWidth="1"/>
    <col min="6642" max="6642" width="3.42578125" customWidth="1"/>
    <col min="6643" max="6643" width="1.7109375" customWidth="1"/>
    <col min="6644" max="6644" width="2.28515625" customWidth="1"/>
    <col min="6645" max="6645" width="3" customWidth="1"/>
    <col min="6646" max="6646" width="2.28515625" customWidth="1"/>
    <col min="6647" max="6647" width="2.5703125" customWidth="1"/>
    <col min="6648" max="6648" width="4.7109375" customWidth="1"/>
    <col min="6649" max="6650" width="2.28515625" customWidth="1"/>
    <col min="6651" max="6651" width="3.140625" customWidth="1"/>
    <col min="6652" max="6652" width="2.28515625" customWidth="1"/>
    <col min="6653" max="6653" width="4.7109375" customWidth="1"/>
    <col min="6654" max="6654" width="2.28515625" customWidth="1"/>
    <col min="6655" max="6655" width="1.5703125" customWidth="1"/>
    <col min="6656" max="6656" width="2.28515625" customWidth="1"/>
    <col min="6657" max="6657" width="3.5703125" customWidth="1"/>
    <col min="6881" max="6886" width="2.28515625" customWidth="1"/>
    <col min="6887" max="6887" width="4.42578125" customWidth="1"/>
    <col min="6888" max="6889" width="2.28515625" customWidth="1"/>
    <col min="6890" max="6890" width="2.140625" customWidth="1"/>
    <col min="6891" max="6892" width="2.28515625" customWidth="1"/>
    <col min="6893" max="6893" width="3.42578125" customWidth="1"/>
    <col min="6894" max="6896" width="2.28515625" customWidth="1"/>
    <col min="6897" max="6897" width="3.28515625" customWidth="1"/>
    <col min="6898" max="6898" width="3.42578125" customWidth="1"/>
    <col min="6899" max="6899" width="1.7109375" customWidth="1"/>
    <col min="6900" max="6900" width="2.28515625" customWidth="1"/>
    <col min="6901" max="6901" width="3" customWidth="1"/>
    <col min="6902" max="6902" width="2.28515625" customWidth="1"/>
    <col min="6903" max="6903" width="2.5703125" customWidth="1"/>
    <col min="6904" max="6904" width="4.7109375" customWidth="1"/>
    <col min="6905" max="6906" width="2.28515625" customWidth="1"/>
    <col min="6907" max="6907" width="3.140625" customWidth="1"/>
    <col min="6908" max="6908" width="2.28515625" customWidth="1"/>
    <col min="6909" max="6909" width="4.7109375" customWidth="1"/>
    <col min="6910" max="6910" width="2.28515625" customWidth="1"/>
    <col min="6911" max="6911" width="1.5703125" customWidth="1"/>
    <col min="6912" max="6912" width="2.28515625" customWidth="1"/>
    <col min="6913" max="6913" width="3.5703125" customWidth="1"/>
    <col min="7137" max="7142" width="2.28515625" customWidth="1"/>
    <col min="7143" max="7143" width="4.42578125" customWidth="1"/>
    <col min="7144" max="7145" width="2.28515625" customWidth="1"/>
    <col min="7146" max="7146" width="2.140625" customWidth="1"/>
    <col min="7147" max="7148" width="2.28515625" customWidth="1"/>
    <col min="7149" max="7149" width="3.42578125" customWidth="1"/>
    <col min="7150" max="7152" width="2.28515625" customWidth="1"/>
    <col min="7153" max="7153" width="3.28515625" customWidth="1"/>
    <col min="7154" max="7154" width="3.42578125" customWidth="1"/>
    <col min="7155" max="7155" width="1.7109375" customWidth="1"/>
    <col min="7156" max="7156" width="2.28515625" customWidth="1"/>
    <col min="7157" max="7157" width="3" customWidth="1"/>
    <col min="7158" max="7158" width="2.28515625" customWidth="1"/>
    <col min="7159" max="7159" width="2.5703125" customWidth="1"/>
    <col min="7160" max="7160" width="4.7109375" customWidth="1"/>
    <col min="7161" max="7162" width="2.28515625" customWidth="1"/>
    <col min="7163" max="7163" width="3.140625" customWidth="1"/>
    <col min="7164" max="7164" width="2.28515625" customWidth="1"/>
    <col min="7165" max="7165" width="4.7109375" customWidth="1"/>
    <col min="7166" max="7166" width="2.28515625" customWidth="1"/>
    <col min="7167" max="7167" width="1.5703125" customWidth="1"/>
    <col min="7168" max="7168" width="2.28515625" customWidth="1"/>
    <col min="7169" max="7169" width="3.5703125" customWidth="1"/>
    <col min="7393" max="7398" width="2.28515625" customWidth="1"/>
    <col min="7399" max="7399" width="4.42578125" customWidth="1"/>
    <col min="7400" max="7401" width="2.28515625" customWidth="1"/>
    <col min="7402" max="7402" width="2.140625" customWidth="1"/>
    <col min="7403" max="7404" width="2.28515625" customWidth="1"/>
    <col min="7405" max="7405" width="3.42578125" customWidth="1"/>
    <col min="7406" max="7408" width="2.28515625" customWidth="1"/>
    <col min="7409" max="7409" width="3.28515625" customWidth="1"/>
    <col min="7410" max="7410" width="3.42578125" customWidth="1"/>
    <col min="7411" max="7411" width="1.7109375" customWidth="1"/>
    <col min="7412" max="7412" width="2.28515625" customWidth="1"/>
    <col min="7413" max="7413" width="3" customWidth="1"/>
    <col min="7414" max="7414" width="2.28515625" customWidth="1"/>
    <col min="7415" max="7415" width="2.5703125" customWidth="1"/>
    <col min="7416" max="7416" width="4.7109375" customWidth="1"/>
    <col min="7417" max="7418" width="2.28515625" customWidth="1"/>
    <col min="7419" max="7419" width="3.140625" customWidth="1"/>
    <col min="7420" max="7420" width="2.28515625" customWidth="1"/>
    <col min="7421" max="7421" width="4.7109375" customWidth="1"/>
    <col min="7422" max="7422" width="2.28515625" customWidth="1"/>
    <col min="7423" max="7423" width="1.5703125" customWidth="1"/>
    <col min="7424" max="7424" width="2.28515625" customWidth="1"/>
    <col min="7425" max="7425" width="3.5703125" customWidth="1"/>
    <col min="7649" max="7654" width="2.28515625" customWidth="1"/>
    <col min="7655" max="7655" width="4.42578125" customWidth="1"/>
    <col min="7656" max="7657" width="2.28515625" customWidth="1"/>
    <col min="7658" max="7658" width="2.140625" customWidth="1"/>
    <col min="7659" max="7660" width="2.28515625" customWidth="1"/>
    <col min="7661" max="7661" width="3.42578125" customWidth="1"/>
    <col min="7662" max="7664" width="2.28515625" customWidth="1"/>
    <col min="7665" max="7665" width="3.28515625" customWidth="1"/>
    <col min="7666" max="7666" width="3.42578125" customWidth="1"/>
    <col min="7667" max="7667" width="1.7109375" customWidth="1"/>
    <col min="7668" max="7668" width="2.28515625" customWidth="1"/>
    <col min="7669" max="7669" width="3" customWidth="1"/>
    <col min="7670" max="7670" width="2.28515625" customWidth="1"/>
    <col min="7671" max="7671" width="2.5703125" customWidth="1"/>
    <col min="7672" max="7672" width="4.7109375" customWidth="1"/>
    <col min="7673" max="7674" width="2.28515625" customWidth="1"/>
    <col min="7675" max="7675" width="3.140625" customWidth="1"/>
    <col min="7676" max="7676" width="2.28515625" customWidth="1"/>
    <col min="7677" max="7677" width="4.7109375" customWidth="1"/>
    <col min="7678" max="7678" width="2.28515625" customWidth="1"/>
    <col min="7679" max="7679" width="1.5703125" customWidth="1"/>
    <col min="7680" max="7680" width="2.28515625" customWidth="1"/>
    <col min="7681" max="7681" width="3.5703125" customWidth="1"/>
    <col min="7905" max="7910" width="2.28515625" customWidth="1"/>
    <col min="7911" max="7911" width="4.42578125" customWidth="1"/>
    <col min="7912" max="7913" width="2.28515625" customWidth="1"/>
    <col min="7914" max="7914" width="2.140625" customWidth="1"/>
    <col min="7915" max="7916" width="2.28515625" customWidth="1"/>
    <col min="7917" max="7917" width="3.42578125" customWidth="1"/>
    <col min="7918" max="7920" width="2.28515625" customWidth="1"/>
    <col min="7921" max="7921" width="3.28515625" customWidth="1"/>
    <col min="7922" max="7922" width="3.42578125" customWidth="1"/>
    <col min="7923" max="7923" width="1.7109375" customWidth="1"/>
    <col min="7924" max="7924" width="2.28515625" customWidth="1"/>
    <col min="7925" max="7925" width="3" customWidth="1"/>
    <col min="7926" max="7926" width="2.28515625" customWidth="1"/>
    <col min="7927" max="7927" width="2.5703125" customWidth="1"/>
    <col min="7928" max="7928" width="4.7109375" customWidth="1"/>
    <col min="7929" max="7930" width="2.28515625" customWidth="1"/>
    <col min="7931" max="7931" width="3.140625" customWidth="1"/>
    <col min="7932" max="7932" width="2.28515625" customWidth="1"/>
    <col min="7933" max="7933" width="4.7109375" customWidth="1"/>
    <col min="7934" max="7934" width="2.28515625" customWidth="1"/>
    <col min="7935" max="7935" width="1.5703125" customWidth="1"/>
    <col min="7936" max="7936" width="2.28515625" customWidth="1"/>
    <col min="7937" max="7937" width="3.5703125" customWidth="1"/>
    <col min="8161" max="8166" width="2.28515625" customWidth="1"/>
    <col min="8167" max="8167" width="4.42578125" customWidth="1"/>
    <col min="8168" max="8169" width="2.28515625" customWidth="1"/>
    <col min="8170" max="8170" width="2.140625" customWidth="1"/>
    <col min="8171" max="8172" width="2.28515625" customWidth="1"/>
    <col min="8173" max="8173" width="3.42578125" customWidth="1"/>
    <col min="8174" max="8176" width="2.28515625" customWidth="1"/>
    <col min="8177" max="8177" width="3.28515625" customWidth="1"/>
    <col min="8178" max="8178" width="3.42578125" customWidth="1"/>
    <col min="8179" max="8179" width="1.7109375" customWidth="1"/>
    <col min="8180" max="8180" width="2.28515625" customWidth="1"/>
    <col min="8181" max="8181" width="3" customWidth="1"/>
    <col min="8182" max="8182" width="2.28515625" customWidth="1"/>
    <col min="8183" max="8183" width="2.5703125" customWidth="1"/>
    <col min="8184" max="8184" width="4.7109375" customWidth="1"/>
    <col min="8185" max="8186" width="2.28515625" customWidth="1"/>
    <col min="8187" max="8187" width="3.140625" customWidth="1"/>
    <col min="8188" max="8188" width="2.28515625" customWidth="1"/>
    <col min="8189" max="8189" width="4.7109375" customWidth="1"/>
    <col min="8190" max="8190" width="2.28515625" customWidth="1"/>
    <col min="8191" max="8191" width="1.5703125" customWidth="1"/>
    <col min="8192" max="8192" width="2.28515625" customWidth="1"/>
    <col min="8193" max="8193" width="3.5703125" customWidth="1"/>
    <col min="8417" max="8422" width="2.28515625" customWidth="1"/>
    <col min="8423" max="8423" width="4.42578125" customWidth="1"/>
    <col min="8424" max="8425" width="2.28515625" customWidth="1"/>
    <col min="8426" max="8426" width="2.140625" customWidth="1"/>
    <col min="8427" max="8428" width="2.28515625" customWidth="1"/>
    <col min="8429" max="8429" width="3.42578125" customWidth="1"/>
    <col min="8430" max="8432" width="2.28515625" customWidth="1"/>
    <col min="8433" max="8433" width="3.28515625" customWidth="1"/>
    <col min="8434" max="8434" width="3.42578125" customWidth="1"/>
    <col min="8435" max="8435" width="1.7109375" customWidth="1"/>
    <col min="8436" max="8436" width="2.28515625" customWidth="1"/>
    <col min="8437" max="8437" width="3" customWidth="1"/>
    <col min="8438" max="8438" width="2.28515625" customWidth="1"/>
    <col min="8439" max="8439" width="2.5703125" customWidth="1"/>
    <col min="8440" max="8440" width="4.7109375" customWidth="1"/>
    <col min="8441" max="8442" width="2.28515625" customWidth="1"/>
    <col min="8443" max="8443" width="3.140625" customWidth="1"/>
    <col min="8444" max="8444" width="2.28515625" customWidth="1"/>
    <col min="8445" max="8445" width="4.7109375" customWidth="1"/>
    <col min="8446" max="8446" width="2.28515625" customWidth="1"/>
    <col min="8447" max="8447" width="1.5703125" customWidth="1"/>
    <col min="8448" max="8448" width="2.28515625" customWidth="1"/>
    <col min="8449" max="8449" width="3.5703125" customWidth="1"/>
    <col min="8673" max="8678" width="2.28515625" customWidth="1"/>
    <col min="8679" max="8679" width="4.42578125" customWidth="1"/>
    <col min="8680" max="8681" width="2.28515625" customWidth="1"/>
    <col min="8682" max="8682" width="2.140625" customWidth="1"/>
    <col min="8683" max="8684" width="2.28515625" customWidth="1"/>
    <col min="8685" max="8685" width="3.42578125" customWidth="1"/>
    <col min="8686" max="8688" width="2.28515625" customWidth="1"/>
    <col min="8689" max="8689" width="3.28515625" customWidth="1"/>
    <col min="8690" max="8690" width="3.42578125" customWidth="1"/>
    <col min="8691" max="8691" width="1.7109375" customWidth="1"/>
    <col min="8692" max="8692" width="2.28515625" customWidth="1"/>
    <col min="8693" max="8693" width="3" customWidth="1"/>
    <col min="8694" max="8694" width="2.28515625" customWidth="1"/>
    <col min="8695" max="8695" width="2.5703125" customWidth="1"/>
    <col min="8696" max="8696" width="4.7109375" customWidth="1"/>
    <col min="8697" max="8698" width="2.28515625" customWidth="1"/>
    <col min="8699" max="8699" width="3.140625" customWidth="1"/>
    <col min="8700" max="8700" width="2.28515625" customWidth="1"/>
    <col min="8701" max="8701" width="4.7109375" customWidth="1"/>
    <col min="8702" max="8702" width="2.28515625" customWidth="1"/>
    <col min="8703" max="8703" width="1.5703125" customWidth="1"/>
    <col min="8704" max="8704" width="2.28515625" customWidth="1"/>
    <col min="8705" max="8705" width="3.5703125" customWidth="1"/>
    <col min="8929" max="8934" width="2.28515625" customWidth="1"/>
    <col min="8935" max="8935" width="4.42578125" customWidth="1"/>
    <col min="8936" max="8937" width="2.28515625" customWidth="1"/>
    <col min="8938" max="8938" width="2.140625" customWidth="1"/>
    <col min="8939" max="8940" width="2.28515625" customWidth="1"/>
    <col min="8941" max="8941" width="3.42578125" customWidth="1"/>
    <col min="8942" max="8944" width="2.28515625" customWidth="1"/>
    <col min="8945" max="8945" width="3.28515625" customWidth="1"/>
    <col min="8946" max="8946" width="3.42578125" customWidth="1"/>
    <col min="8947" max="8947" width="1.7109375" customWidth="1"/>
    <col min="8948" max="8948" width="2.28515625" customWidth="1"/>
    <col min="8949" max="8949" width="3" customWidth="1"/>
    <col min="8950" max="8950" width="2.28515625" customWidth="1"/>
    <col min="8951" max="8951" width="2.5703125" customWidth="1"/>
    <col min="8952" max="8952" width="4.7109375" customWidth="1"/>
    <col min="8953" max="8954" width="2.28515625" customWidth="1"/>
    <col min="8955" max="8955" width="3.140625" customWidth="1"/>
    <col min="8956" max="8956" width="2.28515625" customWidth="1"/>
    <col min="8957" max="8957" width="4.7109375" customWidth="1"/>
    <col min="8958" max="8958" width="2.28515625" customWidth="1"/>
    <col min="8959" max="8959" width="1.5703125" customWidth="1"/>
    <col min="8960" max="8960" width="2.28515625" customWidth="1"/>
    <col min="8961" max="8961" width="3.5703125" customWidth="1"/>
    <col min="9185" max="9190" width="2.28515625" customWidth="1"/>
    <col min="9191" max="9191" width="4.42578125" customWidth="1"/>
    <col min="9192" max="9193" width="2.28515625" customWidth="1"/>
    <col min="9194" max="9194" width="2.140625" customWidth="1"/>
    <col min="9195" max="9196" width="2.28515625" customWidth="1"/>
    <col min="9197" max="9197" width="3.42578125" customWidth="1"/>
    <col min="9198" max="9200" width="2.28515625" customWidth="1"/>
    <col min="9201" max="9201" width="3.28515625" customWidth="1"/>
    <col min="9202" max="9202" width="3.42578125" customWidth="1"/>
    <col min="9203" max="9203" width="1.7109375" customWidth="1"/>
    <col min="9204" max="9204" width="2.28515625" customWidth="1"/>
    <col min="9205" max="9205" width="3" customWidth="1"/>
    <col min="9206" max="9206" width="2.28515625" customWidth="1"/>
    <col min="9207" max="9207" width="2.5703125" customWidth="1"/>
    <col min="9208" max="9208" width="4.7109375" customWidth="1"/>
    <col min="9209" max="9210" width="2.28515625" customWidth="1"/>
    <col min="9211" max="9211" width="3.140625" customWidth="1"/>
    <col min="9212" max="9212" width="2.28515625" customWidth="1"/>
    <col min="9213" max="9213" width="4.7109375" customWidth="1"/>
    <col min="9214" max="9214" width="2.28515625" customWidth="1"/>
    <col min="9215" max="9215" width="1.5703125" customWidth="1"/>
    <col min="9216" max="9216" width="2.28515625" customWidth="1"/>
    <col min="9217" max="9217" width="3.5703125" customWidth="1"/>
    <col min="9441" max="9446" width="2.28515625" customWidth="1"/>
    <col min="9447" max="9447" width="4.42578125" customWidth="1"/>
    <col min="9448" max="9449" width="2.28515625" customWidth="1"/>
    <col min="9450" max="9450" width="2.140625" customWidth="1"/>
    <col min="9451" max="9452" width="2.28515625" customWidth="1"/>
    <col min="9453" max="9453" width="3.42578125" customWidth="1"/>
    <col min="9454" max="9456" width="2.28515625" customWidth="1"/>
    <col min="9457" max="9457" width="3.28515625" customWidth="1"/>
    <col min="9458" max="9458" width="3.42578125" customWidth="1"/>
    <col min="9459" max="9459" width="1.7109375" customWidth="1"/>
    <col min="9460" max="9460" width="2.28515625" customWidth="1"/>
    <col min="9461" max="9461" width="3" customWidth="1"/>
    <col min="9462" max="9462" width="2.28515625" customWidth="1"/>
    <col min="9463" max="9463" width="2.5703125" customWidth="1"/>
    <col min="9464" max="9464" width="4.7109375" customWidth="1"/>
    <col min="9465" max="9466" width="2.28515625" customWidth="1"/>
    <col min="9467" max="9467" width="3.140625" customWidth="1"/>
    <col min="9468" max="9468" width="2.28515625" customWidth="1"/>
    <col min="9469" max="9469" width="4.7109375" customWidth="1"/>
    <col min="9470" max="9470" width="2.28515625" customWidth="1"/>
    <col min="9471" max="9471" width="1.5703125" customWidth="1"/>
    <col min="9472" max="9472" width="2.28515625" customWidth="1"/>
    <col min="9473" max="9473" width="3.5703125" customWidth="1"/>
    <col min="9697" max="9702" width="2.28515625" customWidth="1"/>
    <col min="9703" max="9703" width="4.42578125" customWidth="1"/>
    <col min="9704" max="9705" width="2.28515625" customWidth="1"/>
    <col min="9706" max="9706" width="2.140625" customWidth="1"/>
    <col min="9707" max="9708" width="2.28515625" customWidth="1"/>
    <col min="9709" max="9709" width="3.42578125" customWidth="1"/>
    <col min="9710" max="9712" width="2.28515625" customWidth="1"/>
    <col min="9713" max="9713" width="3.28515625" customWidth="1"/>
    <col min="9714" max="9714" width="3.42578125" customWidth="1"/>
    <col min="9715" max="9715" width="1.7109375" customWidth="1"/>
    <col min="9716" max="9716" width="2.28515625" customWidth="1"/>
    <col min="9717" max="9717" width="3" customWidth="1"/>
    <col min="9718" max="9718" width="2.28515625" customWidth="1"/>
    <col min="9719" max="9719" width="2.5703125" customWidth="1"/>
    <col min="9720" max="9720" width="4.7109375" customWidth="1"/>
    <col min="9721" max="9722" width="2.28515625" customWidth="1"/>
    <col min="9723" max="9723" width="3.140625" customWidth="1"/>
    <col min="9724" max="9724" width="2.28515625" customWidth="1"/>
    <col min="9725" max="9725" width="4.7109375" customWidth="1"/>
    <col min="9726" max="9726" width="2.28515625" customWidth="1"/>
    <col min="9727" max="9727" width="1.5703125" customWidth="1"/>
    <col min="9728" max="9728" width="2.28515625" customWidth="1"/>
    <col min="9729" max="9729" width="3.5703125" customWidth="1"/>
    <col min="9953" max="9958" width="2.28515625" customWidth="1"/>
    <col min="9959" max="9959" width="4.42578125" customWidth="1"/>
    <col min="9960" max="9961" width="2.28515625" customWidth="1"/>
    <col min="9962" max="9962" width="2.140625" customWidth="1"/>
    <col min="9963" max="9964" width="2.28515625" customWidth="1"/>
    <col min="9965" max="9965" width="3.42578125" customWidth="1"/>
    <col min="9966" max="9968" width="2.28515625" customWidth="1"/>
    <col min="9969" max="9969" width="3.28515625" customWidth="1"/>
    <col min="9970" max="9970" width="3.42578125" customWidth="1"/>
    <col min="9971" max="9971" width="1.7109375" customWidth="1"/>
    <col min="9972" max="9972" width="2.28515625" customWidth="1"/>
    <col min="9973" max="9973" width="3" customWidth="1"/>
    <col min="9974" max="9974" width="2.28515625" customWidth="1"/>
    <col min="9975" max="9975" width="2.5703125" customWidth="1"/>
    <col min="9976" max="9976" width="4.7109375" customWidth="1"/>
    <col min="9977" max="9978" width="2.28515625" customWidth="1"/>
    <col min="9979" max="9979" width="3.140625" customWidth="1"/>
    <col min="9980" max="9980" width="2.28515625" customWidth="1"/>
    <col min="9981" max="9981" width="4.7109375" customWidth="1"/>
    <col min="9982" max="9982" width="2.28515625" customWidth="1"/>
    <col min="9983" max="9983" width="1.5703125" customWidth="1"/>
    <col min="9984" max="9984" width="2.28515625" customWidth="1"/>
    <col min="9985" max="9985" width="3.5703125" customWidth="1"/>
    <col min="10209" max="10214" width="2.28515625" customWidth="1"/>
    <col min="10215" max="10215" width="4.42578125" customWidth="1"/>
    <col min="10216" max="10217" width="2.28515625" customWidth="1"/>
    <col min="10218" max="10218" width="2.140625" customWidth="1"/>
    <col min="10219" max="10220" width="2.28515625" customWidth="1"/>
    <col min="10221" max="10221" width="3.42578125" customWidth="1"/>
    <col min="10222" max="10224" width="2.28515625" customWidth="1"/>
    <col min="10225" max="10225" width="3.28515625" customWidth="1"/>
    <col min="10226" max="10226" width="3.42578125" customWidth="1"/>
    <col min="10227" max="10227" width="1.7109375" customWidth="1"/>
    <col min="10228" max="10228" width="2.28515625" customWidth="1"/>
    <col min="10229" max="10229" width="3" customWidth="1"/>
    <col min="10230" max="10230" width="2.28515625" customWidth="1"/>
    <col min="10231" max="10231" width="2.5703125" customWidth="1"/>
    <col min="10232" max="10232" width="4.7109375" customWidth="1"/>
    <col min="10233" max="10234" width="2.28515625" customWidth="1"/>
    <col min="10235" max="10235" width="3.140625" customWidth="1"/>
    <col min="10236" max="10236" width="2.28515625" customWidth="1"/>
    <col min="10237" max="10237" width="4.7109375" customWidth="1"/>
    <col min="10238" max="10238" width="2.28515625" customWidth="1"/>
    <col min="10239" max="10239" width="1.5703125" customWidth="1"/>
    <col min="10240" max="10240" width="2.28515625" customWidth="1"/>
    <col min="10241" max="10241" width="3.5703125" customWidth="1"/>
    <col min="10465" max="10470" width="2.28515625" customWidth="1"/>
    <col min="10471" max="10471" width="4.42578125" customWidth="1"/>
    <col min="10472" max="10473" width="2.28515625" customWidth="1"/>
    <col min="10474" max="10474" width="2.140625" customWidth="1"/>
    <col min="10475" max="10476" width="2.28515625" customWidth="1"/>
    <col min="10477" max="10477" width="3.42578125" customWidth="1"/>
    <col min="10478" max="10480" width="2.28515625" customWidth="1"/>
    <col min="10481" max="10481" width="3.28515625" customWidth="1"/>
    <col min="10482" max="10482" width="3.42578125" customWidth="1"/>
    <col min="10483" max="10483" width="1.7109375" customWidth="1"/>
    <col min="10484" max="10484" width="2.28515625" customWidth="1"/>
    <col min="10485" max="10485" width="3" customWidth="1"/>
    <col min="10486" max="10486" width="2.28515625" customWidth="1"/>
    <col min="10487" max="10487" width="2.5703125" customWidth="1"/>
    <col min="10488" max="10488" width="4.7109375" customWidth="1"/>
    <col min="10489" max="10490" width="2.28515625" customWidth="1"/>
    <col min="10491" max="10491" width="3.140625" customWidth="1"/>
    <col min="10492" max="10492" width="2.28515625" customWidth="1"/>
    <col min="10493" max="10493" width="4.7109375" customWidth="1"/>
    <col min="10494" max="10494" width="2.28515625" customWidth="1"/>
    <col min="10495" max="10495" width="1.5703125" customWidth="1"/>
    <col min="10496" max="10496" width="2.28515625" customWidth="1"/>
    <col min="10497" max="10497" width="3.5703125" customWidth="1"/>
    <col min="10721" max="10726" width="2.28515625" customWidth="1"/>
    <col min="10727" max="10727" width="4.42578125" customWidth="1"/>
    <col min="10728" max="10729" width="2.28515625" customWidth="1"/>
    <col min="10730" max="10730" width="2.140625" customWidth="1"/>
    <col min="10731" max="10732" width="2.28515625" customWidth="1"/>
    <col min="10733" max="10733" width="3.42578125" customWidth="1"/>
    <col min="10734" max="10736" width="2.28515625" customWidth="1"/>
    <col min="10737" max="10737" width="3.28515625" customWidth="1"/>
    <col min="10738" max="10738" width="3.42578125" customWidth="1"/>
    <col min="10739" max="10739" width="1.7109375" customWidth="1"/>
    <col min="10740" max="10740" width="2.28515625" customWidth="1"/>
    <col min="10741" max="10741" width="3" customWidth="1"/>
    <col min="10742" max="10742" width="2.28515625" customWidth="1"/>
    <col min="10743" max="10743" width="2.5703125" customWidth="1"/>
    <col min="10744" max="10744" width="4.7109375" customWidth="1"/>
    <col min="10745" max="10746" width="2.28515625" customWidth="1"/>
    <col min="10747" max="10747" width="3.140625" customWidth="1"/>
    <col min="10748" max="10748" width="2.28515625" customWidth="1"/>
    <col min="10749" max="10749" width="4.7109375" customWidth="1"/>
    <col min="10750" max="10750" width="2.28515625" customWidth="1"/>
    <col min="10751" max="10751" width="1.5703125" customWidth="1"/>
    <col min="10752" max="10752" width="2.28515625" customWidth="1"/>
    <col min="10753" max="10753" width="3.5703125" customWidth="1"/>
    <col min="10977" max="10982" width="2.28515625" customWidth="1"/>
    <col min="10983" max="10983" width="4.42578125" customWidth="1"/>
    <col min="10984" max="10985" width="2.28515625" customWidth="1"/>
    <col min="10986" max="10986" width="2.140625" customWidth="1"/>
    <col min="10987" max="10988" width="2.28515625" customWidth="1"/>
    <col min="10989" max="10989" width="3.42578125" customWidth="1"/>
    <col min="10990" max="10992" width="2.28515625" customWidth="1"/>
    <col min="10993" max="10993" width="3.28515625" customWidth="1"/>
    <col min="10994" max="10994" width="3.42578125" customWidth="1"/>
    <col min="10995" max="10995" width="1.7109375" customWidth="1"/>
    <col min="10996" max="10996" width="2.28515625" customWidth="1"/>
    <col min="10997" max="10997" width="3" customWidth="1"/>
    <col min="10998" max="10998" width="2.28515625" customWidth="1"/>
    <col min="10999" max="10999" width="2.5703125" customWidth="1"/>
    <col min="11000" max="11000" width="4.7109375" customWidth="1"/>
    <col min="11001" max="11002" width="2.28515625" customWidth="1"/>
    <col min="11003" max="11003" width="3.140625" customWidth="1"/>
    <col min="11004" max="11004" width="2.28515625" customWidth="1"/>
    <col min="11005" max="11005" width="4.7109375" customWidth="1"/>
    <col min="11006" max="11006" width="2.28515625" customWidth="1"/>
    <col min="11007" max="11007" width="1.5703125" customWidth="1"/>
    <col min="11008" max="11008" width="2.28515625" customWidth="1"/>
    <col min="11009" max="11009" width="3.5703125" customWidth="1"/>
    <col min="11233" max="11238" width="2.28515625" customWidth="1"/>
    <col min="11239" max="11239" width="4.42578125" customWidth="1"/>
    <col min="11240" max="11241" width="2.28515625" customWidth="1"/>
    <col min="11242" max="11242" width="2.140625" customWidth="1"/>
    <col min="11243" max="11244" width="2.28515625" customWidth="1"/>
    <col min="11245" max="11245" width="3.42578125" customWidth="1"/>
    <col min="11246" max="11248" width="2.28515625" customWidth="1"/>
    <col min="11249" max="11249" width="3.28515625" customWidth="1"/>
    <col min="11250" max="11250" width="3.42578125" customWidth="1"/>
    <col min="11251" max="11251" width="1.7109375" customWidth="1"/>
    <col min="11252" max="11252" width="2.28515625" customWidth="1"/>
    <col min="11253" max="11253" width="3" customWidth="1"/>
    <col min="11254" max="11254" width="2.28515625" customWidth="1"/>
    <col min="11255" max="11255" width="2.5703125" customWidth="1"/>
    <col min="11256" max="11256" width="4.7109375" customWidth="1"/>
    <col min="11257" max="11258" width="2.28515625" customWidth="1"/>
    <col min="11259" max="11259" width="3.140625" customWidth="1"/>
    <col min="11260" max="11260" width="2.28515625" customWidth="1"/>
    <col min="11261" max="11261" width="4.7109375" customWidth="1"/>
    <col min="11262" max="11262" width="2.28515625" customWidth="1"/>
    <col min="11263" max="11263" width="1.5703125" customWidth="1"/>
    <col min="11264" max="11264" width="2.28515625" customWidth="1"/>
    <col min="11265" max="11265" width="3.5703125" customWidth="1"/>
    <col min="11489" max="11494" width="2.28515625" customWidth="1"/>
    <col min="11495" max="11495" width="4.42578125" customWidth="1"/>
    <col min="11496" max="11497" width="2.28515625" customWidth="1"/>
    <col min="11498" max="11498" width="2.140625" customWidth="1"/>
    <col min="11499" max="11500" width="2.28515625" customWidth="1"/>
    <col min="11501" max="11501" width="3.42578125" customWidth="1"/>
    <col min="11502" max="11504" width="2.28515625" customWidth="1"/>
    <col min="11505" max="11505" width="3.28515625" customWidth="1"/>
    <col min="11506" max="11506" width="3.42578125" customWidth="1"/>
    <col min="11507" max="11507" width="1.7109375" customWidth="1"/>
    <col min="11508" max="11508" width="2.28515625" customWidth="1"/>
    <col min="11509" max="11509" width="3" customWidth="1"/>
    <col min="11510" max="11510" width="2.28515625" customWidth="1"/>
    <col min="11511" max="11511" width="2.5703125" customWidth="1"/>
    <col min="11512" max="11512" width="4.7109375" customWidth="1"/>
    <col min="11513" max="11514" width="2.28515625" customWidth="1"/>
    <col min="11515" max="11515" width="3.140625" customWidth="1"/>
    <col min="11516" max="11516" width="2.28515625" customWidth="1"/>
    <col min="11517" max="11517" width="4.7109375" customWidth="1"/>
    <col min="11518" max="11518" width="2.28515625" customWidth="1"/>
    <col min="11519" max="11519" width="1.5703125" customWidth="1"/>
    <col min="11520" max="11520" width="2.28515625" customWidth="1"/>
    <col min="11521" max="11521" width="3.5703125" customWidth="1"/>
    <col min="11745" max="11750" width="2.28515625" customWidth="1"/>
    <col min="11751" max="11751" width="4.42578125" customWidth="1"/>
    <col min="11752" max="11753" width="2.28515625" customWidth="1"/>
    <col min="11754" max="11754" width="2.140625" customWidth="1"/>
    <col min="11755" max="11756" width="2.28515625" customWidth="1"/>
    <col min="11757" max="11757" width="3.42578125" customWidth="1"/>
    <col min="11758" max="11760" width="2.28515625" customWidth="1"/>
    <col min="11761" max="11761" width="3.28515625" customWidth="1"/>
    <col min="11762" max="11762" width="3.42578125" customWidth="1"/>
    <col min="11763" max="11763" width="1.7109375" customWidth="1"/>
    <col min="11764" max="11764" width="2.28515625" customWidth="1"/>
    <col min="11765" max="11765" width="3" customWidth="1"/>
    <col min="11766" max="11766" width="2.28515625" customWidth="1"/>
    <col min="11767" max="11767" width="2.5703125" customWidth="1"/>
    <col min="11768" max="11768" width="4.7109375" customWidth="1"/>
    <col min="11769" max="11770" width="2.28515625" customWidth="1"/>
    <col min="11771" max="11771" width="3.140625" customWidth="1"/>
    <col min="11772" max="11772" width="2.28515625" customWidth="1"/>
    <col min="11773" max="11773" width="4.7109375" customWidth="1"/>
    <col min="11774" max="11774" width="2.28515625" customWidth="1"/>
    <col min="11775" max="11775" width="1.5703125" customWidth="1"/>
    <col min="11776" max="11776" width="2.28515625" customWidth="1"/>
    <col min="11777" max="11777" width="3.5703125" customWidth="1"/>
    <col min="12001" max="12006" width="2.28515625" customWidth="1"/>
    <col min="12007" max="12007" width="4.42578125" customWidth="1"/>
    <col min="12008" max="12009" width="2.28515625" customWidth="1"/>
    <col min="12010" max="12010" width="2.140625" customWidth="1"/>
    <col min="12011" max="12012" width="2.28515625" customWidth="1"/>
    <col min="12013" max="12013" width="3.42578125" customWidth="1"/>
    <col min="12014" max="12016" width="2.28515625" customWidth="1"/>
    <col min="12017" max="12017" width="3.28515625" customWidth="1"/>
    <col min="12018" max="12018" width="3.42578125" customWidth="1"/>
    <col min="12019" max="12019" width="1.7109375" customWidth="1"/>
    <col min="12020" max="12020" width="2.28515625" customWidth="1"/>
    <col min="12021" max="12021" width="3" customWidth="1"/>
    <col min="12022" max="12022" width="2.28515625" customWidth="1"/>
    <col min="12023" max="12023" width="2.5703125" customWidth="1"/>
    <col min="12024" max="12024" width="4.7109375" customWidth="1"/>
    <col min="12025" max="12026" width="2.28515625" customWidth="1"/>
    <col min="12027" max="12027" width="3.140625" customWidth="1"/>
    <col min="12028" max="12028" width="2.28515625" customWidth="1"/>
    <col min="12029" max="12029" width="4.7109375" customWidth="1"/>
    <col min="12030" max="12030" width="2.28515625" customWidth="1"/>
    <col min="12031" max="12031" width="1.5703125" customWidth="1"/>
    <col min="12032" max="12032" width="2.28515625" customWidth="1"/>
    <col min="12033" max="12033" width="3.5703125" customWidth="1"/>
    <col min="12257" max="12262" width="2.28515625" customWidth="1"/>
    <col min="12263" max="12263" width="4.42578125" customWidth="1"/>
    <col min="12264" max="12265" width="2.28515625" customWidth="1"/>
    <col min="12266" max="12266" width="2.140625" customWidth="1"/>
    <col min="12267" max="12268" width="2.28515625" customWidth="1"/>
    <col min="12269" max="12269" width="3.42578125" customWidth="1"/>
    <col min="12270" max="12272" width="2.28515625" customWidth="1"/>
    <col min="12273" max="12273" width="3.28515625" customWidth="1"/>
    <col min="12274" max="12274" width="3.42578125" customWidth="1"/>
    <col min="12275" max="12275" width="1.7109375" customWidth="1"/>
    <col min="12276" max="12276" width="2.28515625" customWidth="1"/>
    <col min="12277" max="12277" width="3" customWidth="1"/>
    <col min="12278" max="12278" width="2.28515625" customWidth="1"/>
    <col min="12279" max="12279" width="2.5703125" customWidth="1"/>
    <col min="12280" max="12280" width="4.7109375" customWidth="1"/>
    <col min="12281" max="12282" width="2.28515625" customWidth="1"/>
    <col min="12283" max="12283" width="3.140625" customWidth="1"/>
    <col min="12284" max="12284" width="2.28515625" customWidth="1"/>
    <col min="12285" max="12285" width="4.7109375" customWidth="1"/>
    <col min="12286" max="12286" width="2.28515625" customWidth="1"/>
    <col min="12287" max="12287" width="1.5703125" customWidth="1"/>
    <col min="12288" max="12288" width="2.28515625" customWidth="1"/>
    <col min="12289" max="12289" width="3.5703125" customWidth="1"/>
    <col min="12513" max="12518" width="2.28515625" customWidth="1"/>
    <col min="12519" max="12519" width="4.42578125" customWidth="1"/>
    <col min="12520" max="12521" width="2.28515625" customWidth="1"/>
    <col min="12522" max="12522" width="2.140625" customWidth="1"/>
    <col min="12523" max="12524" width="2.28515625" customWidth="1"/>
    <col min="12525" max="12525" width="3.42578125" customWidth="1"/>
    <col min="12526" max="12528" width="2.28515625" customWidth="1"/>
    <col min="12529" max="12529" width="3.28515625" customWidth="1"/>
    <col min="12530" max="12530" width="3.42578125" customWidth="1"/>
    <col min="12531" max="12531" width="1.7109375" customWidth="1"/>
    <col min="12532" max="12532" width="2.28515625" customWidth="1"/>
    <col min="12533" max="12533" width="3" customWidth="1"/>
    <col min="12534" max="12534" width="2.28515625" customWidth="1"/>
    <col min="12535" max="12535" width="2.5703125" customWidth="1"/>
    <col min="12536" max="12536" width="4.7109375" customWidth="1"/>
    <col min="12537" max="12538" width="2.28515625" customWidth="1"/>
    <col min="12539" max="12539" width="3.140625" customWidth="1"/>
    <col min="12540" max="12540" width="2.28515625" customWidth="1"/>
    <col min="12541" max="12541" width="4.7109375" customWidth="1"/>
    <col min="12542" max="12542" width="2.28515625" customWidth="1"/>
    <col min="12543" max="12543" width="1.5703125" customWidth="1"/>
    <col min="12544" max="12544" width="2.28515625" customWidth="1"/>
    <col min="12545" max="12545" width="3.5703125" customWidth="1"/>
    <col min="12769" max="12774" width="2.28515625" customWidth="1"/>
    <col min="12775" max="12775" width="4.42578125" customWidth="1"/>
    <col min="12776" max="12777" width="2.28515625" customWidth="1"/>
    <col min="12778" max="12778" width="2.140625" customWidth="1"/>
    <col min="12779" max="12780" width="2.28515625" customWidth="1"/>
    <col min="12781" max="12781" width="3.42578125" customWidth="1"/>
    <col min="12782" max="12784" width="2.28515625" customWidth="1"/>
    <col min="12785" max="12785" width="3.28515625" customWidth="1"/>
    <col min="12786" max="12786" width="3.42578125" customWidth="1"/>
    <col min="12787" max="12787" width="1.7109375" customWidth="1"/>
    <col min="12788" max="12788" width="2.28515625" customWidth="1"/>
    <col min="12789" max="12789" width="3" customWidth="1"/>
    <col min="12790" max="12790" width="2.28515625" customWidth="1"/>
    <col min="12791" max="12791" width="2.5703125" customWidth="1"/>
    <col min="12792" max="12792" width="4.7109375" customWidth="1"/>
    <col min="12793" max="12794" width="2.28515625" customWidth="1"/>
    <col min="12795" max="12795" width="3.140625" customWidth="1"/>
    <col min="12796" max="12796" width="2.28515625" customWidth="1"/>
    <col min="12797" max="12797" width="4.7109375" customWidth="1"/>
    <col min="12798" max="12798" width="2.28515625" customWidth="1"/>
    <col min="12799" max="12799" width="1.5703125" customWidth="1"/>
    <col min="12800" max="12800" width="2.28515625" customWidth="1"/>
    <col min="12801" max="12801" width="3.5703125" customWidth="1"/>
    <col min="13025" max="13030" width="2.28515625" customWidth="1"/>
    <col min="13031" max="13031" width="4.42578125" customWidth="1"/>
    <col min="13032" max="13033" width="2.28515625" customWidth="1"/>
    <col min="13034" max="13034" width="2.140625" customWidth="1"/>
    <col min="13035" max="13036" width="2.28515625" customWidth="1"/>
    <col min="13037" max="13037" width="3.42578125" customWidth="1"/>
    <col min="13038" max="13040" width="2.28515625" customWidth="1"/>
    <col min="13041" max="13041" width="3.28515625" customWidth="1"/>
    <col min="13042" max="13042" width="3.42578125" customWidth="1"/>
    <col min="13043" max="13043" width="1.7109375" customWidth="1"/>
    <col min="13044" max="13044" width="2.28515625" customWidth="1"/>
    <col min="13045" max="13045" width="3" customWidth="1"/>
    <col min="13046" max="13046" width="2.28515625" customWidth="1"/>
    <col min="13047" max="13047" width="2.5703125" customWidth="1"/>
    <col min="13048" max="13048" width="4.7109375" customWidth="1"/>
    <col min="13049" max="13050" width="2.28515625" customWidth="1"/>
    <col min="13051" max="13051" width="3.140625" customWidth="1"/>
    <col min="13052" max="13052" width="2.28515625" customWidth="1"/>
    <col min="13053" max="13053" width="4.7109375" customWidth="1"/>
    <col min="13054" max="13054" width="2.28515625" customWidth="1"/>
    <col min="13055" max="13055" width="1.5703125" customWidth="1"/>
    <col min="13056" max="13056" width="2.28515625" customWidth="1"/>
    <col min="13057" max="13057" width="3.5703125" customWidth="1"/>
    <col min="13281" max="13286" width="2.28515625" customWidth="1"/>
    <col min="13287" max="13287" width="4.42578125" customWidth="1"/>
    <col min="13288" max="13289" width="2.28515625" customWidth="1"/>
    <col min="13290" max="13290" width="2.140625" customWidth="1"/>
    <col min="13291" max="13292" width="2.28515625" customWidth="1"/>
    <col min="13293" max="13293" width="3.42578125" customWidth="1"/>
    <col min="13294" max="13296" width="2.28515625" customWidth="1"/>
    <col min="13297" max="13297" width="3.28515625" customWidth="1"/>
    <col min="13298" max="13298" width="3.42578125" customWidth="1"/>
    <col min="13299" max="13299" width="1.7109375" customWidth="1"/>
    <col min="13300" max="13300" width="2.28515625" customWidth="1"/>
    <col min="13301" max="13301" width="3" customWidth="1"/>
    <col min="13302" max="13302" width="2.28515625" customWidth="1"/>
    <col min="13303" max="13303" width="2.5703125" customWidth="1"/>
    <col min="13304" max="13304" width="4.7109375" customWidth="1"/>
    <col min="13305" max="13306" width="2.28515625" customWidth="1"/>
    <col min="13307" max="13307" width="3.140625" customWidth="1"/>
    <col min="13308" max="13308" width="2.28515625" customWidth="1"/>
    <col min="13309" max="13309" width="4.7109375" customWidth="1"/>
    <col min="13310" max="13310" width="2.28515625" customWidth="1"/>
    <col min="13311" max="13311" width="1.5703125" customWidth="1"/>
    <col min="13312" max="13312" width="2.28515625" customWidth="1"/>
    <col min="13313" max="13313" width="3.5703125" customWidth="1"/>
    <col min="13537" max="13542" width="2.28515625" customWidth="1"/>
    <col min="13543" max="13543" width="4.42578125" customWidth="1"/>
    <col min="13544" max="13545" width="2.28515625" customWidth="1"/>
    <col min="13546" max="13546" width="2.140625" customWidth="1"/>
    <col min="13547" max="13548" width="2.28515625" customWidth="1"/>
    <col min="13549" max="13549" width="3.42578125" customWidth="1"/>
    <col min="13550" max="13552" width="2.28515625" customWidth="1"/>
    <col min="13553" max="13553" width="3.28515625" customWidth="1"/>
    <col min="13554" max="13554" width="3.42578125" customWidth="1"/>
    <col min="13555" max="13555" width="1.7109375" customWidth="1"/>
    <col min="13556" max="13556" width="2.28515625" customWidth="1"/>
    <col min="13557" max="13557" width="3" customWidth="1"/>
    <col min="13558" max="13558" width="2.28515625" customWidth="1"/>
    <col min="13559" max="13559" width="2.5703125" customWidth="1"/>
    <col min="13560" max="13560" width="4.7109375" customWidth="1"/>
    <col min="13561" max="13562" width="2.28515625" customWidth="1"/>
    <col min="13563" max="13563" width="3.140625" customWidth="1"/>
    <col min="13564" max="13564" width="2.28515625" customWidth="1"/>
    <col min="13565" max="13565" width="4.7109375" customWidth="1"/>
    <col min="13566" max="13566" width="2.28515625" customWidth="1"/>
    <col min="13567" max="13567" width="1.5703125" customWidth="1"/>
    <col min="13568" max="13568" width="2.28515625" customWidth="1"/>
    <col min="13569" max="13569" width="3.5703125" customWidth="1"/>
    <col min="13793" max="13798" width="2.28515625" customWidth="1"/>
    <col min="13799" max="13799" width="4.42578125" customWidth="1"/>
    <col min="13800" max="13801" width="2.28515625" customWidth="1"/>
    <col min="13802" max="13802" width="2.140625" customWidth="1"/>
    <col min="13803" max="13804" width="2.28515625" customWidth="1"/>
    <col min="13805" max="13805" width="3.42578125" customWidth="1"/>
    <col min="13806" max="13808" width="2.28515625" customWidth="1"/>
    <col min="13809" max="13809" width="3.28515625" customWidth="1"/>
    <col min="13810" max="13810" width="3.42578125" customWidth="1"/>
    <col min="13811" max="13811" width="1.7109375" customWidth="1"/>
    <col min="13812" max="13812" width="2.28515625" customWidth="1"/>
    <col min="13813" max="13813" width="3" customWidth="1"/>
    <col min="13814" max="13814" width="2.28515625" customWidth="1"/>
    <col min="13815" max="13815" width="2.5703125" customWidth="1"/>
    <col min="13816" max="13816" width="4.7109375" customWidth="1"/>
    <col min="13817" max="13818" width="2.28515625" customWidth="1"/>
    <col min="13819" max="13819" width="3.140625" customWidth="1"/>
    <col min="13820" max="13820" width="2.28515625" customWidth="1"/>
    <col min="13821" max="13821" width="4.7109375" customWidth="1"/>
    <col min="13822" max="13822" width="2.28515625" customWidth="1"/>
    <col min="13823" max="13823" width="1.5703125" customWidth="1"/>
    <col min="13824" max="13824" width="2.28515625" customWidth="1"/>
    <col min="13825" max="13825" width="3.5703125" customWidth="1"/>
    <col min="14049" max="14054" width="2.28515625" customWidth="1"/>
    <col min="14055" max="14055" width="4.42578125" customWidth="1"/>
    <col min="14056" max="14057" width="2.28515625" customWidth="1"/>
    <col min="14058" max="14058" width="2.140625" customWidth="1"/>
    <col min="14059" max="14060" width="2.28515625" customWidth="1"/>
    <col min="14061" max="14061" width="3.42578125" customWidth="1"/>
    <col min="14062" max="14064" width="2.28515625" customWidth="1"/>
    <col min="14065" max="14065" width="3.28515625" customWidth="1"/>
    <col min="14066" max="14066" width="3.42578125" customWidth="1"/>
    <col min="14067" max="14067" width="1.7109375" customWidth="1"/>
    <col min="14068" max="14068" width="2.28515625" customWidth="1"/>
    <col min="14069" max="14069" width="3" customWidth="1"/>
    <col min="14070" max="14070" width="2.28515625" customWidth="1"/>
    <col min="14071" max="14071" width="2.5703125" customWidth="1"/>
    <col min="14072" max="14072" width="4.7109375" customWidth="1"/>
    <col min="14073" max="14074" width="2.28515625" customWidth="1"/>
    <col min="14075" max="14075" width="3.140625" customWidth="1"/>
    <col min="14076" max="14076" width="2.28515625" customWidth="1"/>
    <col min="14077" max="14077" width="4.7109375" customWidth="1"/>
    <col min="14078" max="14078" width="2.28515625" customWidth="1"/>
    <col min="14079" max="14079" width="1.5703125" customWidth="1"/>
    <col min="14080" max="14080" width="2.28515625" customWidth="1"/>
    <col min="14081" max="14081" width="3.5703125" customWidth="1"/>
    <col min="14305" max="14310" width="2.28515625" customWidth="1"/>
    <col min="14311" max="14311" width="4.42578125" customWidth="1"/>
    <col min="14312" max="14313" width="2.28515625" customWidth="1"/>
    <col min="14314" max="14314" width="2.140625" customWidth="1"/>
    <col min="14315" max="14316" width="2.28515625" customWidth="1"/>
    <col min="14317" max="14317" width="3.42578125" customWidth="1"/>
    <col min="14318" max="14320" width="2.28515625" customWidth="1"/>
    <col min="14321" max="14321" width="3.28515625" customWidth="1"/>
    <col min="14322" max="14322" width="3.42578125" customWidth="1"/>
    <col min="14323" max="14323" width="1.7109375" customWidth="1"/>
    <col min="14324" max="14324" width="2.28515625" customWidth="1"/>
    <col min="14325" max="14325" width="3" customWidth="1"/>
    <col min="14326" max="14326" width="2.28515625" customWidth="1"/>
    <col min="14327" max="14327" width="2.5703125" customWidth="1"/>
    <col min="14328" max="14328" width="4.7109375" customWidth="1"/>
    <col min="14329" max="14330" width="2.28515625" customWidth="1"/>
    <col min="14331" max="14331" width="3.140625" customWidth="1"/>
    <col min="14332" max="14332" width="2.28515625" customWidth="1"/>
    <col min="14333" max="14333" width="4.7109375" customWidth="1"/>
    <col min="14334" max="14334" width="2.28515625" customWidth="1"/>
    <col min="14335" max="14335" width="1.5703125" customWidth="1"/>
    <col min="14336" max="14336" width="2.28515625" customWidth="1"/>
    <col min="14337" max="14337" width="3.5703125" customWidth="1"/>
    <col min="14561" max="14566" width="2.28515625" customWidth="1"/>
    <col min="14567" max="14567" width="4.42578125" customWidth="1"/>
    <col min="14568" max="14569" width="2.28515625" customWidth="1"/>
    <col min="14570" max="14570" width="2.140625" customWidth="1"/>
    <col min="14571" max="14572" width="2.28515625" customWidth="1"/>
    <col min="14573" max="14573" width="3.42578125" customWidth="1"/>
    <col min="14574" max="14576" width="2.28515625" customWidth="1"/>
    <col min="14577" max="14577" width="3.28515625" customWidth="1"/>
    <col min="14578" max="14578" width="3.42578125" customWidth="1"/>
    <col min="14579" max="14579" width="1.7109375" customWidth="1"/>
    <col min="14580" max="14580" width="2.28515625" customWidth="1"/>
    <col min="14581" max="14581" width="3" customWidth="1"/>
    <col min="14582" max="14582" width="2.28515625" customWidth="1"/>
    <col min="14583" max="14583" width="2.5703125" customWidth="1"/>
    <col min="14584" max="14584" width="4.7109375" customWidth="1"/>
    <col min="14585" max="14586" width="2.28515625" customWidth="1"/>
    <col min="14587" max="14587" width="3.140625" customWidth="1"/>
    <col min="14588" max="14588" width="2.28515625" customWidth="1"/>
    <col min="14589" max="14589" width="4.7109375" customWidth="1"/>
    <col min="14590" max="14590" width="2.28515625" customWidth="1"/>
    <col min="14591" max="14591" width="1.5703125" customWidth="1"/>
    <col min="14592" max="14592" width="2.28515625" customWidth="1"/>
    <col min="14593" max="14593" width="3.5703125" customWidth="1"/>
    <col min="14817" max="14822" width="2.28515625" customWidth="1"/>
    <col min="14823" max="14823" width="4.42578125" customWidth="1"/>
    <col min="14824" max="14825" width="2.28515625" customWidth="1"/>
    <col min="14826" max="14826" width="2.140625" customWidth="1"/>
    <col min="14827" max="14828" width="2.28515625" customWidth="1"/>
    <col min="14829" max="14829" width="3.42578125" customWidth="1"/>
    <col min="14830" max="14832" width="2.28515625" customWidth="1"/>
    <col min="14833" max="14833" width="3.28515625" customWidth="1"/>
    <col min="14834" max="14834" width="3.42578125" customWidth="1"/>
    <col min="14835" max="14835" width="1.7109375" customWidth="1"/>
    <col min="14836" max="14836" width="2.28515625" customWidth="1"/>
    <col min="14837" max="14837" width="3" customWidth="1"/>
    <col min="14838" max="14838" width="2.28515625" customWidth="1"/>
    <col min="14839" max="14839" width="2.5703125" customWidth="1"/>
    <col min="14840" max="14840" width="4.7109375" customWidth="1"/>
    <col min="14841" max="14842" width="2.28515625" customWidth="1"/>
    <col min="14843" max="14843" width="3.140625" customWidth="1"/>
    <col min="14844" max="14844" width="2.28515625" customWidth="1"/>
    <col min="14845" max="14845" width="4.7109375" customWidth="1"/>
    <col min="14846" max="14846" width="2.28515625" customWidth="1"/>
    <col min="14847" max="14847" width="1.5703125" customWidth="1"/>
    <col min="14848" max="14848" width="2.28515625" customWidth="1"/>
    <col min="14849" max="14849" width="3.5703125" customWidth="1"/>
    <col min="15073" max="15078" width="2.28515625" customWidth="1"/>
    <col min="15079" max="15079" width="4.42578125" customWidth="1"/>
    <col min="15080" max="15081" width="2.28515625" customWidth="1"/>
    <col min="15082" max="15082" width="2.140625" customWidth="1"/>
    <col min="15083" max="15084" width="2.28515625" customWidth="1"/>
    <col min="15085" max="15085" width="3.42578125" customWidth="1"/>
    <col min="15086" max="15088" width="2.28515625" customWidth="1"/>
    <col min="15089" max="15089" width="3.28515625" customWidth="1"/>
    <col min="15090" max="15090" width="3.42578125" customWidth="1"/>
    <col min="15091" max="15091" width="1.7109375" customWidth="1"/>
    <col min="15092" max="15092" width="2.28515625" customWidth="1"/>
    <col min="15093" max="15093" width="3" customWidth="1"/>
    <col min="15094" max="15094" width="2.28515625" customWidth="1"/>
    <col min="15095" max="15095" width="2.5703125" customWidth="1"/>
    <col min="15096" max="15096" width="4.7109375" customWidth="1"/>
    <col min="15097" max="15098" width="2.28515625" customWidth="1"/>
    <col min="15099" max="15099" width="3.140625" customWidth="1"/>
    <col min="15100" max="15100" width="2.28515625" customWidth="1"/>
    <col min="15101" max="15101" width="4.7109375" customWidth="1"/>
    <col min="15102" max="15102" width="2.28515625" customWidth="1"/>
    <col min="15103" max="15103" width="1.5703125" customWidth="1"/>
    <col min="15104" max="15104" width="2.28515625" customWidth="1"/>
    <col min="15105" max="15105" width="3.5703125" customWidth="1"/>
    <col min="15329" max="15334" width="2.28515625" customWidth="1"/>
    <col min="15335" max="15335" width="4.42578125" customWidth="1"/>
    <col min="15336" max="15337" width="2.28515625" customWidth="1"/>
    <col min="15338" max="15338" width="2.140625" customWidth="1"/>
    <col min="15339" max="15340" width="2.28515625" customWidth="1"/>
    <col min="15341" max="15341" width="3.42578125" customWidth="1"/>
    <col min="15342" max="15344" width="2.28515625" customWidth="1"/>
    <col min="15345" max="15345" width="3.28515625" customWidth="1"/>
    <col min="15346" max="15346" width="3.42578125" customWidth="1"/>
    <col min="15347" max="15347" width="1.7109375" customWidth="1"/>
    <col min="15348" max="15348" width="2.28515625" customWidth="1"/>
    <col min="15349" max="15349" width="3" customWidth="1"/>
    <col min="15350" max="15350" width="2.28515625" customWidth="1"/>
    <col min="15351" max="15351" width="2.5703125" customWidth="1"/>
    <col min="15352" max="15352" width="4.7109375" customWidth="1"/>
    <col min="15353" max="15354" width="2.28515625" customWidth="1"/>
    <col min="15355" max="15355" width="3.140625" customWidth="1"/>
    <col min="15356" max="15356" width="2.28515625" customWidth="1"/>
    <col min="15357" max="15357" width="4.7109375" customWidth="1"/>
    <col min="15358" max="15358" width="2.28515625" customWidth="1"/>
    <col min="15359" max="15359" width="1.5703125" customWidth="1"/>
    <col min="15360" max="15360" width="2.28515625" customWidth="1"/>
    <col min="15361" max="15361" width="3.5703125" customWidth="1"/>
    <col min="15585" max="15590" width="2.28515625" customWidth="1"/>
    <col min="15591" max="15591" width="4.42578125" customWidth="1"/>
    <col min="15592" max="15593" width="2.28515625" customWidth="1"/>
    <col min="15594" max="15594" width="2.140625" customWidth="1"/>
    <col min="15595" max="15596" width="2.28515625" customWidth="1"/>
    <col min="15597" max="15597" width="3.42578125" customWidth="1"/>
    <col min="15598" max="15600" width="2.28515625" customWidth="1"/>
    <col min="15601" max="15601" width="3.28515625" customWidth="1"/>
    <col min="15602" max="15602" width="3.42578125" customWidth="1"/>
    <col min="15603" max="15603" width="1.7109375" customWidth="1"/>
    <col min="15604" max="15604" width="2.28515625" customWidth="1"/>
    <col min="15605" max="15605" width="3" customWidth="1"/>
    <col min="15606" max="15606" width="2.28515625" customWidth="1"/>
    <col min="15607" max="15607" width="2.5703125" customWidth="1"/>
    <col min="15608" max="15608" width="4.7109375" customWidth="1"/>
    <col min="15609" max="15610" width="2.28515625" customWidth="1"/>
    <col min="15611" max="15611" width="3.140625" customWidth="1"/>
    <col min="15612" max="15612" width="2.28515625" customWidth="1"/>
    <col min="15613" max="15613" width="4.7109375" customWidth="1"/>
    <col min="15614" max="15614" width="2.28515625" customWidth="1"/>
    <col min="15615" max="15615" width="1.5703125" customWidth="1"/>
    <col min="15616" max="15616" width="2.28515625" customWidth="1"/>
    <col min="15617" max="15617" width="3.5703125" customWidth="1"/>
    <col min="15841" max="15846" width="2.28515625" customWidth="1"/>
    <col min="15847" max="15847" width="4.42578125" customWidth="1"/>
    <col min="15848" max="15849" width="2.28515625" customWidth="1"/>
    <col min="15850" max="15850" width="2.140625" customWidth="1"/>
    <col min="15851" max="15852" width="2.28515625" customWidth="1"/>
    <col min="15853" max="15853" width="3.42578125" customWidth="1"/>
    <col min="15854" max="15856" width="2.28515625" customWidth="1"/>
    <col min="15857" max="15857" width="3.28515625" customWidth="1"/>
    <col min="15858" max="15858" width="3.42578125" customWidth="1"/>
    <col min="15859" max="15859" width="1.7109375" customWidth="1"/>
    <col min="15860" max="15860" width="2.28515625" customWidth="1"/>
    <col min="15861" max="15861" width="3" customWidth="1"/>
    <col min="15862" max="15862" width="2.28515625" customWidth="1"/>
    <col min="15863" max="15863" width="2.5703125" customWidth="1"/>
    <col min="15864" max="15864" width="4.7109375" customWidth="1"/>
    <col min="15865" max="15866" width="2.28515625" customWidth="1"/>
    <col min="15867" max="15867" width="3.140625" customWidth="1"/>
    <col min="15868" max="15868" width="2.28515625" customWidth="1"/>
    <col min="15869" max="15869" width="4.7109375" customWidth="1"/>
    <col min="15870" max="15870" width="2.28515625" customWidth="1"/>
    <col min="15871" max="15871" width="1.5703125" customWidth="1"/>
    <col min="15872" max="15872" width="2.28515625" customWidth="1"/>
    <col min="15873" max="15873" width="3.5703125" customWidth="1"/>
    <col min="16097" max="16102" width="2.28515625" customWidth="1"/>
    <col min="16103" max="16103" width="4.42578125" customWidth="1"/>
    <col min="16104" max="16105" width="2.28515625" customWidth="1"/>
    <col min="16106" max="16106" width="2.140625" customWidth="1"/>
    <col min="16107" max="16108" width="2.28515625" customWidth="1"/>
    <col min="16109" max="16109" width="3.42578125" customWidth="1"/>
    <col min="16110" max="16112" width="2.28515625" customWidth="1"/>
    <col min="16113" max="16113" width="3.28515625" customWidth="1"/>
    <col min="16114" max="16114" width="3.42578125" customWidth="1"/>
    <col min="16115" max="16115" width="1.7109375" customWidth="1"/>
    <col min="16116" max="16116" width="2.28515625" customWidth="1"/>
    <col min="16117" max="16117" width="3" customWidth="1"/>
    <col min="16118" max="16118" width="2.28515625" customWidth="1"/>
    <col min="16119" max="16119" width="2.5703125" customWidth="1"/>
    <col min="16120" max="16120" width="4.7109375" customWidth="1"/>
    <col min="16121" max="16122" width="2.28515625" customWidth="1"/>
    <col min="16123" max="16123" width="3.140625" customWidth="1"/>
    <col min="16124" max="16124" width="2.28515625" customWidth="1"/>
    <col min="16125" max="16125" width="4.7109375" customWidth="1"/>
    <col min="16126" max="16126" width="2.28515625" customWidth="1"/>
    <col min="16127" max="16127" width="1.5703125" customWidth="1"/>
    <col min="16128" max="16128" width="2.28515625" customWidth="1"/>
    <col min="16129" max="16129" width="3.5703125" customWidth="1"/>
  </cols>
  <sheetData>
    <row r="1" ht="9" customHeight="1"/>
    <row r="28" ht="15" customHeight="1"/>
  </sheetData>
  <pageMargins left="0.26" right="0.23" top="0.49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"/>
  <sheetViews>
    <sheetView showGridLines="0" workbookViewId="0">
      <selection activeCell="G23" sqref="G23"/>
    </sheetView>
  </sheetViews>
  <sheetFormatPr baseColWidth="10" defaultRowHeight="16.5"/>
  <cols>
    <col min="1" max="16384" width="11.42578125" style="1"/>
  </cols>
  <sheetData>
    <row r="15" spans="2:2">
      <c r="B15" s="9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8"/>
  <sheetViews>
    <sheetView showGridLines="0" topLeftCell="A38" zoomScaleNormal="100" workbookViewId="0">
      <selection activeCell="E68" sqref="E68"/>
    </sheetView>
  </sheetViews>
  <sheetFormatPr baseColWidth="10" defaultRowHeight="13.5"/>
  <cols>
    <col min="1" max="1" width="50.85546875" style="3" customWidth="1"/>
    <col min="2" max="2" width="11" style="7" customWidth="1"/>
    <col min="3" max="3" width="6.140625" style="3" customWidth="1"/>
    <col min="4" max="4" width="10" style="3" customWidth="1"/>
    <col min="5" max="5" width="13" style="3" customWidth="1"/>
    <col min="6" max="6" width="7.42578125" style="3" customWidth="1"/>
    <col min="7" max="7" width="4.5703125" style="3" customWidth="1"/>
    <col min="8" max="8" width="7" style="439" customWidth="1"/>
    <col min="9" max="9" width="14.28515625" style="439" customWidth="1"/>
    <col min="10" max="10" width="24.140625" style="439" customWidth="1"/>
    <col min="11" max="11" width="16.28515625" style="439" customWidth="1"/>
    <col min="12" max="16384" width="11.42578125" style="3"/>
  </cols>
  <sheetData>
    <row r="1" spans="1:6" ht="15">
      <c r="A1" s="492" t="s">
        <v>39</v>
      </c>
      <c r="B1" s="492"/>
      <c r="C1" s="492"/>
      <c r="D1" s="492"/>
      <c r="E1" s="492"/>
    </row>
    <row r="2" spans="1:6">
      <c r="A2" s="97"/>
      <c r="B2" s="98"/>
      <c r="C2" s="97"/>
      <c r="D2" s="97"/>
      <c r="E2" s="97"/>
      <c r="F2" s="2"/>
    </row>
    <row r="3" spans="1:6" s="5" customFormat="1" ht="13.5" customHeight="1">
      <c r="A3" s="493" t="s">
        <v>0</v>
      </c>
      <c r="B3" s="493" t="s">
        <v>1</v>
      </c>
      <c r="C3" s="493" t="s">
        <v>23</v>
      </c>
      <c r="D3" s="493" t="s">
        <v>22</v>
      </c>
      <c r="E3" s="493" t="s">
        <v>2</v>
      </c>
      <c r="F3" s="4"/>
    </row>
    <row r="4" spans="1:6" s="5" customFormat="1">
      <c r="A4" s="493"/>
      <c r="B4" s="493"/>
      <c r="C4" s="493"/>
      <c r="D4" s="493"/>
      <c r="E4" s="493"/>
      <c r="F4" s="4"/>
    </row>
    <row r="5" spans="1:6">
      <c r="A5" s="156" t="s">
        <v>3</v>
      </c>
      <c r="B5" s="124"/>
      <c r="C5" s="125"/>
      <c r="D5" s="125"/>
      <c r="E5" s="126"/>
    </row>
    <row r="6" spans="1:6">
      <c r="A6" s="156" t="s">
        <v>48</v>
      </c>
      <c r="B6" s="124"/>
      <c r="C6" s="125"/>
      <c r="D6" s="125"/>
      <c r="E6" s="126"/>
    </row>
    <row r="7" spans="1:6">
      <c r="A7" s="127" t="s">
        <v>4</v>
      </c>
      <c r="B7" s="128"/>
      <c r="C7" s="129"/>
      <c r="D7" s="129"/>
      <c r="E7" s="130">
        <f>E8</f>
        <v>500</v>
      </c>
    </row>
    <row r="8" spans="1:6">
      <c r="A8" s="75" t="s">
        <v>5</v>
      </c>
      <c r="B8" s="99">
        <v>500</v>
      </c>
      <c r="C8" s="100">
        <v>1</v>
      </c>
      <c r="D8" s="100"/>
      <c r="E8" s="101">
        <f>B8*C8</f>
        <v>500</v>
      </c>
    </row>
    <row r="9" spans="1:6">
      <c r="A9" s="133" t="s">
        <v>6</v>
      </c>
      <c r="B9" s="131"/>
      <c r="C9" s="132"/>
      <c r="D9" s="132"/>
      <c r="E9" s="134">
        <f>SUM(E10:E15)</f>
        <v>7350</v>
      </c>
    </row>
    <row r="10" spans="1:6">
      <c r="A10" s="75" t="s">
        <v>321</v>
      </c>
      <c r="B10" s="99">
        <v>3000</v>
      </c>
      <c r="C10" s="100">
        <v>1</v>
      </c>
      <c r="D10" s="100" t="s">
        <v>7</v>
      </c>
      <c r="E10" s="101">
        <f>B10*C10</f>
        <v>3000</v>
      </c>
    </row>
    <row r="11" spans="1:6">
      <c r="A11" s="75" t="s">
        <v>322</v>
      </c>
      <c r="B11" s="99">
        <v>1000</v>
      </c>
      <c r="C11" s="100">
        <v>1</v>
      </c>
      <c r="D11" s="100" t="s">
        <v>7</v>
      </c>
      <c r="E11" s="101">
        <f t="shared" ref="E11:E24" si="0">B11*C11</f>
        <v>1000</v>
      </c>
    </row>
    <row r="12" spans="1:6">
      <c r="A12" s="75" t="s">
        <v>323</v>
      </c>
      <c r="B12" s="99">
        <v>350</v>
      </c>
      <c r="C12" s="100">
        <v>1</v>
      </c>
      <c r="D12" s="100" t="s">
        <v>7</v>
      </c>
      <c r="E12" s="101">
        <f t="shared" si="0"/>
        <v>350</v>
      </c>
    </row>
    <row r="13" spans="1:6">
      <c r="A13" s="75" t="s">
        <v>324</v>
      </c>
      <c r="B13" s="99">
        <v>1500</v>
      </c>
      <c r="C13" s="100">
        <v>1</v>
      </c>
      <c r="D13" s="100" t="s">
        <v>7</v>
      </c>
      <c r="E13" s="101">
        <f t="shared" si="0"/>
        <v>1500</v>
      </c>
    </row>
    <row r="14" spans="1:6">
      <c r="A14" s="77" t="s">
        <v>342</v>
      </c>
      <c r="B14" s="102">
        <v>1200</v>
      </c>
      <c r="C14" s="103">
        <v>1</v>
      </c>
      <c r="D14" s="103" t="s">
        <v>7</v>
      </c>
      <c r="E14" s="104">
        <f t="shared" si="0"/>
        <v>1200</v>
      </c>
    </row>
    <row r="15" spans="1:6">
      <c r="A15" s="75" t="s">
        <v>325</v>
      </c>
      <c r="B15" s="99">
        <v>300</v>
      </c>
      <c r="C15" s="100">
        <v>1</v>
      </c>
      <c r="D15" s="100" t="s">
        <v>7</v>
      </c>
      <c r="E15" s="101">
        <f t="shared" si="0"/>
        <v>300</v>
      </c>
    </row>
    <row r="16" spans="1:6">
      <c r="A16" s="127" t="s">
        <v>418</v>
      </c>
      <c r="B16" s="135"/>
      <c r="C16" s="132"/>
      <c r="D16" s="132"/>
      <c r="E16" s="134">
        <f>SUM(E17:E21)</f>
        <v>700</v>
      </c>
    </row>
    <row r="17" spans="1:5">
      <c r="A17" s="75" t="s">
        <v>326</v>
      </c>
      <c r="B17" s="99">
        <v>250</v>
      </c>
      <c r="C17" s="100">
        <v>1</v>
      </c>
      <c r="D17" s="100" t="s">
        <v>7</v>
      </c>
      <c r="E17" s="101">
        <f t="shared" si="0"/>
        <v>250</v>
      </c>
    </row>
    <row r="18" spans="1:5">
      <c r="A18" s="75" t="s">
        <v>327</v>
      </c>
      <c r="B18" s="99">
        <v>30</v>
      </c>
      <c r="C18" s="100">
        <v>1</v>
      </c>
      <c r="D18" s="100" t="s">
        <v>7</v>
      </c>
      <c r="E18" s="101">
        <f t="shared" si="0"/>
        <v>30</v>
      </c>
    </row>
    <row r="19" spans="1:5">
      <c r="A19" s="75" t="s">
        <v>328</v>
      </c>
      <c r="B19" s="99">
        <v>100</v>
      </c>
      <c r="C19" s="100">
        <v>1</v>
      </c>
      <c r="D19" s="100" t="s">
        <v>7</v>
      </c>
      <c r="E19" s="101">
        <f t="shared" si="0"/>
        <v>100</v>
      </c>
    </row>
    <row r="20" spans="1:5">
      <c r="A20" s="75" t="s">
        <v>329</v>
      </c>
      <c r="B20" s="99">
        <v>30</v>
      </c>
      <c r="C20" s="100">
        <v>1</v>
      </c>
      <c r="D20" s="100" t="s">
        <v>7</v>
      </c>
      <c r="E20" s="101">
        <f t="shared" si="0"/>
        <v>30</v>
      </c>
    </row>
    <row r="21" spans="1:5">
      <c r="A21" s="75" t="s">
        <v>330</v>
      </c>
      <c r="B21" s="99">
        <v>290</v>
      </c>
      <c r="C21" s="100">
        <v>1</v>
      </c>
      <c r="D21" s="100" t="s">
        <v>7</v>
      </c>
      <c r="E21" s="101">
        <f t="shared" si="0"/>
        <v>290</v>
      </c>
    </row>
    <row r="22" spans="1:5">
      <c r="A22" s="133" t="s">
        <v>8</v>
      </c>
      <c r="B22" s="131"/>
      <c r="C22" s="132"/>
      <c r="D22" s="132"/>
      <c r="E22" s="134">
        <f>SUM(E23:E24)</f>
        <v>3280</v>
      </c>
    </row>
    <row r="23" spans="1:5">
      <c r="A23" s="75" t="s">
        <v>332</v>
      </c>
      <c r="B23" s="99">
        <v>65</v>
      </c>
      <c r="C23" s="100">
        <v>32</v>
      </c>
      <c r="D23" s="100" t="s">
        <v>7</v>
      </c>
      <c r="E23" s="101">
        <f>B23*C23</f>
        <v>2080</v>
      </c>
    </row>
    <row r="24" spans="1:5">
      <c r="A24" s="75" t="s">
        <v>331</v>
      </c>
      <c r="B24" s="99">
        <v>150</v>
      </c>
      <c r="C24" s="100">
        <v>8</v>
      </c>
      <c r="D24" s="100" t="s">
        <v>7</v>
      </c>
      <c r="E24" s="101">
        <f t="shared" si="0"/>
        <v>1200</v>
      </c>
    </row>
    <row r="25" spans="1:5">
      <c r="A25" s="157" t="s">
        <v>49</v>
      </c>
      <c r="B25" s="136"/>
      <c r="C25" s="137"/>
      <c r="D25" s="137"/>
      <c r="E25" s="470">
        <f>E22+E16+E9+E7</f>
        <v>11830</v>
      </c>
    </row>
    <row r="26" spans="1:5">
      <c r="A26" s="158" t="s">
        <v>50</v>
      </c>
      <c r="B26" s="138"/>
      <c r="C26" s="139"/>
      <c r="D26" s="139"/>
      <c r="E26" s="139"/>
    </row>
    <row r="27" spans="1:5">
      <c r="A27" s="105" t="s">
        <v>25</v>
      </c>
      <c r="B27" s="106">
        <v>100</v>
      </c>
      <c r="C27" s="107">
        <v>1</v>
      </c>
      <c r="D27" s="107" t="s">
        <v>9</v>
      </c>
      <c r="E27" s="108">
        <f>B27*C27</f>
        <v>100</v>
      </c>
    </row>
    <row r="28" spans="1:5">
      <c r="A28" s="75" t="s">
        <v>26</v>
      </c>
      <c r="B28" s="99">
        <v>180</v>
      </c>
      <c r="C28" s="100">
        <v>1</v>
      </c>
      <c r="D28" s="100" t="s">
        <v>36</v>
      </c>
      <c r="E28" s="101">
        <f>B28*C28</f>
        <v>180</v>
      </c>
    </row>
    <row r="29" spans="1:5">
      <c r="A29" s="109" t="s">
        <v>27</v>
      </c>
      <c r="B29" s="110">
        <v>150</v>
      </c>
      <c r="C29" s="111">
        <v>1</v>
      </c>
      <c r="D29" s="100" t="s">
        <v>36</v>
      </c>
      <c r="E29" s="101">
        <f>B29*C29</f>
        <v>150</v>
      </c>
    </row>
    <row r="30" spans="1:5">
      <c r="A30" s="109" t="s">
        <v>28</v>
      </c>
      <c r="B30" s="110">
        <v>0</v>
      </c>
      <c r="C30" s="111">
        <v>1</v>
      </c>
      <c r="D30" s="100" t="s">
        <v>36</v>
      </c>
      <c r="E30" s="101">
        <f t="shared" ref="E30:E36" si="1">B30*C30</f>
        <v>0</v>
      </c>
    </row>
    <row r="31" spans="1:5">
      <c r="A31" s="109" t="s">
        <v>35</v>
      </c>
      <c r="B31" s="110">
        <v>500</v>
      </c>
      <c r="C31" s="111">
        <v>1</v>
      </c>
      <c r="D31" s="100" t="s">
        <v>36</v>
      </c>
      <c r="E31" s="101">
        <f t="shared" si="1"/>
        <v>500</v>
      </c>
    </row>
    <row r="32" spans="1:5">
      <c r="A32" s="109" t="s">
        <v>148</v>
      </c>
      <c r="B32" s="110">
        <v>18</v>
      </c>
      <c r="C32" s="111">
        <v>1</v>
      </c>
      <c r="D32" s="100" t="s">
        <v>36</v>
      </c>
      <c r="E32" s="101">
        <f t="shared" si="1"/>
        <v>18</v>
      </c>
    </row>
    <row r="33" spans="1:11">
      <c r="A33" s="109" t="s">
        <v>29</v>
      </c>
      <c r="B33" s="110">
        <v>300</v>
      </c>
      <c r="C33" s="111">
        <v>1</v>
      </c>
      <c r="D33" s="100" t="s">
        <v>36</v>
      </c>
      <c r="E33" s="101">
        <f t="shared" si="1"/>
        <v>300</v>
      </c>
    </row>
    <row r="34" spans="1:11">
      <c r="A34" s="109" t="s">
        <v>30</v>
      </c>
      <c r="B34" s="110">
        <v>300</v>
      </c>
      <c r="C34" s="111">
        <v>1</v>
      </c>
      <c r="D34" s="100" t="s">
        <v>36</v>
      </c>
      <c r="E34" s="101">
        <f t="shared" si="1"/>
        <v>300</v>
      </c>
    </row>
    <row r="35" spans="1:11">
      <c r="A35" s="109" t="s">
        <v>31</v>
      </c>
      <c r="B35" s="110">
        <v>300</v>
      </c>
      <c r="C35" s="111">
        <v>1</v>
      </c>
      <c r="D35" s="100" t="s">
        <v>36</v>
      </c>
      <c r="E35" s="101">
        <f t="shared" si="1"/>
        <v>300</v>
      </c>
    </row>
    <row r="36" spans="1:11">
      <c r="A36" s="109" t="s">
        <v>32</v>
      </c>
      <c r="B36" s="110">
        <v>200</v>
      </c>
      <c r="C36" s="111">
        <v>1</v>
      </c>
      <c r="D36" s="100" t="s">
        <v>36</v>
      </c>
      <c r="E36" s="101">
        <f t="shared" si="1"/>
        <v>200</v>
      </c>
    </row>
    <row r="37" spans="1:11">
      <c r="A37" s="109" t="s">
        <v>33</v>
      </c>
      <c r="B37" s="110">
        <v>120</v>
      </c>
      <c r="C37" s="111">
        <v>1</v>
      </c>
      <c r="D37" s="111" t="s">
        <v>7</v>
      </c>
      <c r="E37" s="112">
        <f>B37*C37</f>
        <v>120</v>
      </c>
    </row>
    <row r="38" spans="1:11">
      <c r="A38" s="109" t="s">
        <v>34</v>
      </c>
      <c r="B38" s="110">
        <v>25</v>
      </c>
      <c r="C38" s="111">
        <v>1</v>
      </c>
      <c r="D38" s="111" t="s">
        <v>7</v>
      </c>
      <c r="E38" s="112">
        <f>B38*C38</f>
        <v>25</v>
      </c>
    </row>
    <row r="39" spans="1:11">
      <c r="A39" s="159" t="s">
        <v>51</v>
      </c>
      <c r="B39" s="140"/>
      <c r="C39" s="141"/>
      <c r="D39" s="141"/>
      <c r="E39" s="469">
        <f>SUM(E27:E38)</f>
        <v>2193</v>
      </c>
      <c r="F39" s="27"/>
      <c r="G39" s="27"/>
    </row>
    <row r="40" spans="1:11">
      <c r="A40" s="159" t="s">
        <v>53</v>
      </c>
      <c r="B40" s="140"/>
      <c r="C40" s="141"/>
      <c r="D40" s="141"/>
      <c r="E40" s="469">
        <f>E39+E25</f>
        <v>14023</v>
      </c>
    </row>
    <row r="41" spans="1:11">
      <c r="A41" s="159" t="s">
        <v>52</v>
      </c>
      <c r="B41" s="140"/>
      <c r="C41" s="141"/>
      <c r="D41" s="141"/>
      <c r="E41" s="142"/>
    </row>
    <row r="42" spans="1:11" ht="15">
      <c r="A42" s="143" t="s">
        <v>407</v>
      </c>
      <c r="B42" s="144">
        <f>SUM(B43:B49)</f>
        <v>11.604999999999999</v>
      </c>
      <c r="C42" s="145"/>
      <c r="D42" s="146"/>
      <c r="E42" s="147">
        <f>SUM(E43:E49)</f>
        <v>1473.835</v>
      </c>
      <c r="F42" s="490" t="s">
        <v>453</v>
      </c>
      <c r="G42" s="491"/>
      <c r="H42" s="438" t="s">
        <v>454</v>
      </c>
      <c r="I42" s="438" t="s">
        <v>455</v>
      </c>
      <c r="J42" s="438" t="s">
        <v>456</v>
      </c>
      <c r="K42" s="438" t="s">
        <v>457</v>
      </c>
    </row>
    <row r="43" spans="1:11" ht="15">
      <c r="A43" s="113" t="s">
        <v>334</v>
      </c>
      <c r="B43" s="114">
        <f>K43</f>
        <v>2.4</v>
      </c>
      <c r="C43" s="441">
        <f>'INGRESO POR VENTAS'!$B$4</f>
        <v>127</v>
      </c>
      <c r="D43" s="100" t="s">
        <v>7</v>
      </c>
      <c r="E43" s="99">
        <f>B43*C43</f>
        <v>304.8</v>
      </c>
      <c r="F43">
        <v>1000</v>
      </c>
      <c r="G43" t="s">
        <v>458</v>
      </c>
      <c r="H43" s="438">
        <v>6</v>
      </c>
      <c r="I43" s="438">
        <f>(H43)/F43</f>
        <v>6.0000000000000001E-3</v>
      </c>
      <c r="J43" s="438">
        <v>400</v>
      </c>
      <c r="K43" s="438">
        <f>I43*J43</f>
        <v>2.4</v>
      </c>
    </row>
    <row r="44" spans="1:11" ht="14.25" customHeight="1">
      <c r="A44" s="113" t="s">
        <v>333</v>
      </c>
      <c r="B44" s="114">
        <f t="shared" ref="B44:B48" si="2">K44</f>
        <v>1.5</v>
      </c>
      <c r="C44" s="441">
        <f>'INGRESO POR VENTAS'!$B$4</f>
        <v>127</v>
      </c>
      <c r="D44" s="100" t="s">
        <v>7</v>
      </c>
      <c r="E44" s="99">
        <f t="shared" ref="E44:E48" si="3">B44*C44</f>
        <v>190.5</v>
      </c>
      <c r="F44">
        <v>1000</v>
      </c>
      <c r="G44" t="s">
        <v>458</v>
      </c>
      <c r="H44" s="438">
        <v>10</v>
      </c>
      <c r="I44" s="438">
        <f t="shared" ref="I44:I48" si="4">(H44)/F44</f>
        <v>0.01</v>
      </c>
      <c r="J44" s="438">
        <v>150</v>
      </c>
      <c r="K44" s="438">
        <f t="shared" ref="K44:K48" si="5">I44*J44</f>
        <v>1.5</v>
      </c>
    </row>
    <row r="45" spans="1:11" ht="15">
      <c r="A45" s="113" t="s">
        <v>450</v>
      </c>
      <c r="B45" s="114">
        <f t="shared" si="2"/>
        <v>2.4</v>
      </c>
      <c r="C45" s="441">
        <f>'INGRESO POR VENTAS'!$B$4</f>
        <v>127</v>
      </c>
      <c r="D45" s="100" t="s">
        <v>7</v>
      </c>
      <c r="E45" s="99">
        <f t="shared" si="3"/>
        <v>304.8</v>
      </c>
      <c r="F45">
        <v>1000</v>
      </c>
      <c r="G45" t="s">
        <v>458</v>
      </c>
      <c r="H45" s="438">
        <v>12</v>
      </c>
      <c r="I45" s="438">
        <f t="shared" si="4"/>
        <v>1.2E-2</v>
      </c>
      <c r="J45" s="438">
        <v>200</v>
      </c>
      <c r="K45" s="438">
        <f t="shared" si="5"/>
        <v>2.4</v>
      </c>
    </row>
    <row r="46" spans="1:11" ht="15">
      <c r="A46" s="113" t="s">
        <v>451</v>
      </c>
      <c r="B46" s="114">
        <f t="shared" si="2"/>
        <v>1.5049999999999999</v>
      </c>
      <c r="C46" s="441">
        <f>'INGRESO POR VENTAS'!$B$4</f>
        <v>127</v>
      </c>
      <c r="D46" s="100" t="s">
        <v>7</v>
      </c>
      <c r="E46" s="99">
        <f t="shared" si="3"/>
        <v>191.13499999999999</v>
      </c>
      <c r="F46">
        <v>1000</v>
      </c>
      <c r="G46" t="s">
        <v>458</v>
      </c>
      <c r="H46" s="438">
        <v>4.3</v>
      </c>
      <c r="I46" s="438">
        <f t="shared" si="4"/>
        <v>4.3E-3</v>
      </c>
      <c r="J46" s="438">
        <v>350</v>
      </c>
      <c r="K46" s="440">
        <f t="shared" si="5"/>
        <v>1.5049999999999999</v>
      </c>
    </row>
    <row r="47" spans="1:11" ht="15">
      <c r="A47" s="113" t="s">
        <v>452</v>
      </c>
      <c r="B47" s="114">
        <f t="shared" si="2"/>
        <v>0.2</v>
      </c>
      <c r="C47" s="441">
        <f>'INGRESO POR VENTAS'!$B$4</f>
        <v>127</v>
      </c>
      <c r="D47" s="100" t="s">
        <v>7</v>
      </c>
      <c r="E47" s="99">
        <f t="shared" si="3"/>
        <v>25.400000000000002</v>
      </c>
      <c r="F47">
        <v>1000</v>
      </c>
      <c r="G47" t="s">
        <v>458</v>
      </c>
      <c r="H47" s="438">
        <v>4</v>
      </c>
      <c r="I47" s="438">
        <f t="shared" si="4"/>
        <v>4.0000000000000001E-3</v>
      </c>
      <c r="J47" s="438">
        <v>50</v>
      </c>
      <c r="K47" s="438">
        <f t="shared" si="5"/>
        <v>0.2</v>
      </c>
    </row>
    <row r="48" spans="1:11" ht="15">
      <c r="A48" s="113" t="s">
        <v>459</v>
      </c>
      <c r="B48" s="114">
        <f t="shared" si="2"/>
        <v>3.5999999999999996</v>
      </c>
      <c r="C48" s="441">
        <f>'INGRESO POR VENTAS'!$B$4</f>
        <v>127</v>
      </c>
      <c r="D48" s="100" t="s">
        <v>7</v>
      </c>
      <c r="E48" s="99">
        <f t="shared" si="3"/>
        <v>457.19999999999993</v>
      </c>
      <c r="F48">
        <v>1000</v>
      </c>
      <c r="G48" t="s">
        <v>458</v>
      </c>
      <c r="H48" s="438">
        <v>18</v>
      </c>
      <c r="I48" s="438">
        <f t="shared" si="4"/>
        <v>1.7999999999999999E-2</v>
      </c>
      <c r="J48" s="438">
        <v>200</v>
      </c>
      <c r="K48" s="438">
        <f t="shared" si="5"/>
        <v>3.5999999999999996</v>
      </c>
    </row>
    <row r="49" spans="1:11" ht="15">
      <c r="A49" s="113"/>
      <c r="B49" s="114"/>
      <c r="C49" s="115"/>
      <c r="D49" s="100"/>
      <c r="E49" s="99"/>
      <c r="F49"/>
      <c r="G49"/>
      <c r="H49" s="438"/>
      <c r="I49" s="438"/>
      <c r="J49" s="438"/>
      <c r="K49" s="438">
        <f>SUM(K43:K48)</f>
        <v>11.604999999999999</v>
      </c>
    </row>
    <row r="50" spans="1:11" ht="15">
      <c r="A50" s="143" t="s">
        <v>408</v>
      </c>
      <c r="B50" s="144">
        <f>SUM(B51:B56)</f>
        <v>7.3524999999999991</v>
      </c>
      <c r="C50" s="145"/>
      <c r="D50" s="148"/>
      <c r="E50" s="147">
        <f>SUM(E51:E56)</f>
        <v>1999.88</v>
      </c>
      <c r="F50" s="438"/>
      <c r="G50" s="438"/>
      <c r="H50" s="438"/>
      <c r="I50" s="438"/>
      <c r="J50" s="438"/>
      <c r="K50" s="438"/>
    </row>
    <row r="51" spans="1:11" ht="15">
      <c r="A51" s="113" t="s">
        <v>334</v>
      </c>
      <c r="B51" s="114">
        <f>K51</f>
        <v>1.2</v>
      </c>
      <c r="C51" s="441">
        <f>'INGRESO POR VENTAS'!$B$5</f>
        <v>272</v>
      </c>
      <c r="D51" s="100" t="s">
        <v>7</v>
      </c>
      <c r="E51" s="99">
        <f>B51*C51</f>
        <v>326.39999999999998</v>
      </c>
      <c r="F51">
        <v>1000</v>
      </c>
      <c r="G51" t="s">
        <v>458</v>
      </c>
      <c r="H51" s="438">
        <v>6</v>
      </c>
      <c r="I51" s="438">
        <f t="shared" ref="I51:I56" si="6">(H51)/F51</f>
        <v>6.0000000000000001E-3</v>
      </c>
      <c r="J51" s="438">
        <v>200</v>
      </c>
      <c r="K51" s="438">
        <f t="shared" ref="K51:K56" si="7">I51*J51</f>
        <v>1.2</v>
      </c>
    </row>
    <row r="52" spans="1:11" ht="15">
      <c r="A52" s="113" t="s">
        <v>333</v>
      </c>
      <c r="B52" s="114">
        <f t="shared" ref="B52:B56" si="8">K52</f>
        <v>0.8</v>
      </c>
      <c r="C52" s="441">
        <f>'INGRESO POR VENTAS'!$B$5</f>
        <v>272</v>
      </c>
      <c r="D52" s="100" t="s">
        <v>7</v>
      </c>
      <c r="E52" s="99">
        <f>B52*C52</f>
        <v>217.60000000000002</v>
      </c>
      <c r="F52">
        <v>1000</v>
      </c>
      <c r="G52" t="s">
        <v>458</v>
      </c>
      <c r="H52" s="438">
        <v>10</v>
      </c>
      <c r="I52" s="438">
        <f t="shared" si="6"/>
        <v>0.01</v>
      </c>
      <c r="J52" s="438">
        <v>80</v>
      </c>
      <c r="K52" s="438">
        <f t="shared" si="7"/>
        <v>0.8</v>
      </c>
    </row>
    <row r="53" spans="1:11" ht="15">
      <c r="A53" s="113" t="s">
        <v>450</v>
      </c>
      <c r="B53" s="114">
        <f t="shared" si="8"/>
        <v>1.8</v>
      </c>
      <c r="C53" s="441">
        <f>'INGRESO POR VENTAS'!$B$5</f>
        <v>272</v>
      </c>
      <c r="D53" s="100" t="s">
        <v>7</v>
      </c>
      <c r="E53" s="99">
        <f>B53*C53</f>
        <v>489.6</v>
      </c>
      <c r="F53">
        <v>1000</v>
      </c>
      <c r="G53" t="s">
        <v>458</v>
      </c>
      <c r="H53" s="438">
        <v>12</v>
      </c>
      <c r="I53" s="438">
        <f t="shared" si="6"/>
        <v>1.2E-2</v>
      </c>
      <c r="J53" s="438">
        <v>150</v>
      </c>
      <c r="K53" s="438">
        <f t="shared" si="7"/>
        <v>1.8</v>
      </c>
    </row>
    <row r="54" spans="1:11" ht="15">
      <c r="A54" s="113" t="s">
        <v>451</v>
      </c>
      <c r="B54" s="114">
        <f t="shared" si="8"/>
        <v>0.75249999999999995</v>
      </c>
      <c r="C54" s="441">
        <f>'INGRESO POR VENTAS'!$B$5</f>
        <v>272</v>
      </c>
      <c r="D54" s="100" t="s">
        <v>7</v>
      </c>
      <c r="E54" s="99">
        <f>B54*C54</f>
        <v>204.67999999999998</v>
      </c>
      <c r="F54">
        <v>1000</v>
      </c>
      <c r="G54" t="s">
        <v>458</v>
      </c>
      <c r="H54" s="438">
        <v>4.3</v>
      </c>
      <c r="I54" s="438">
        <f t="shared" si="6"/>
        <v>4.3E-3</v>
      </c>
      <c r="J54" s="438">
        <v>175</v>
      </c>
      <c r="K54" s="440">
        <f t="shared" si="7"/>
        <v>0.75249999999999995</v>
      </c>
    </row>
    <row r="55" spans="1:11" ht="15">
      <c r="A55" s="113" t="s">
        <v>452</v>
      </c>
      <c r="B55" s="114">
        <f t="shared" si="8"/>
        <v>0.1</v>
      </c>
      <c r="C55" s="441">
        <f>'INGRESO POR VENTAS'!$B$5</f>
        <v>272</v>
      </c>
      <c r="D55" s="100" t="s">
        <v>7</v>
      </c>
      <c r="E55" s="99">
        <f t="shared" ref="E55:E56" si="9">B55*C55</f>
        <v>27.200000000000003</v>
      </c>
      <c r="F55">
        <v>1000</v>
      </c>
      <c r="G55" t="s">
        <v>458</v>
      </c>
      <c r="H55" s="438">
        <v>4</v>
      </c>
      <c r="I55" s="438">
        <f t="shared" si="6"/>
        <v>4.0000000000000001E-3</v>
      </c>
      <c r="J55" s="438">
        <v>25</v>
      </c>
      <c r="K55" s="438">
        <f t="shared" si="7"/>
        <v>0.1</v>
      </c>
    </row>
    <row r="56" spans="1:11" ht="15">
      <c r="A56" s="113" t="s">
        <v>459</v>
      </c>
      <c r="B56" s="114">
        <f t="shared" si="8"/>
        <v>2.6999999999999997</v>
      </c>
      <c r="C56" s="441">
        <f>'INGRESO POR VENTAS'!$B$5</f>
        <v>272</v>
      </c>
      <c r="D56" s="100" t="s">
        <v>7</v>
      </c>
      <c r="E56" s="99">
        <f t="shared" si="9"/>
        <v>734.4</v>
      </c>
      <c r="F56">
        <v>1000</v>
      </c>
      <c r="G56" t="s">
        <v>458</v>
      </c>
      <c r="H56" s="438">
        <v>18</v>
      </c>
      <c r="I56" s="438">
        <f t="shared" si="6"/>
        <v>1.7999999999999999E-2</v>
      </c>
      <c r="J56" s="438">
        <v>150</v>
      </c>
      <c r="K56" s="438">
        <f t="shared" si="7"/>
        <v>2.6999999999999997</v>
      </c>
    </row>
    <row r="57" spans="1:11" ht="15">
      <c r="A57" s="143" t="s">
        <v>411</v>
      </c>
      <c r="B57" s="144">
        <f>SUM(B58:B65)</f>
        <v>4.63</v>
      </c>
      <c r="C57" s="145"/>
      <c r="D57" s="148"/>
      <c r="E57" s="147">
        <f>SUM(E58:E65)</f>
        <v>810.25</v>
      </c>
      <c r="F57"/>
      <c r="G57"/>
      <c r="H57" s="438"/>
      <c r="I57" s="438"/>
      <c r="J57" s="438"/>
      <c r="K57" s="438">
        <f>SUM(K51:K56)</f>
        <v>7.3524999999999991</v>
      </c>
    </row>
    <row r="58" spans="1:11" ht="15">
      <c r="A58" s="113" t="s">
        <v>334</v>
      </c>
      <c r="B58" s="114">
        <f>K58</f>
        <v>0.6</v>
      </c>
      <c r="C58" s="115">
        <f>'INGRESO POR VENTAS'!$B$6</f>
        <v>175</v>
      </c>
      <c r="D58" s="100" t="s">
        <v>7</v>
      </c>
      <c r="E58" s="99">
        <f t="shared" ref="E58:E63" si="10">B58*C58</f>
        <v>105</v>
      </c>
      <c r="F58">
        <v>1000</v>
      </c>
      <c r="G58" t="s">
        <v>458</v>
      </c>
      <c r="H58" s="438">
        <v>6</v>
      </c>
      <c r="I58" s="438">
        <f>(H58)/F58</f>
        <v>6.0000000000000001E-3</v>
      </c>
      <c r="J58" s="438">
        <v>100</v>
      </c>
      <c r="K58" s="438">
        <f>I58*J58</f>
        <v>0.6</v>
      </c>
    </row>
    <row r="59" spans="1:11" ht="15">
      <c r="A59" s="113" t="s">
        <v>333</v>
      </c>
      <c r="B59" s="114">
        <f t="shared" ref="B59:B63" si="11">K59</f>
        <v>0.5</v>
      </c>
      <c r="C59" s="115">
        <f>'INGRESO POR VENTAS'!$B$6</f>
        <v>175</v>
      </c>
      <c r="D59" s="100" t="s">
        <v>7</v>
      </c>
      <c r="E59" s="99">
        <f t="shared" si="10"/>
        <v>87.5</v>
      </c>
      <c r="F59">
        <v>1000</v>
      </c>
      <c r="G59" t="s">
        <v>458</v>
      </c>
      <c r="H59" s="438">
        <v>10</v>
      </c>
      <c r="I59" s="438">
        <f t="shared" ref="I59:I63" si="12">(H59)/F59</f>
        <v>0.01</v>
      </c>
      <c r="J59" s="438">
        <v>50</v>
      </c>
      <c r="K59" s="438">
        <f t="shared" ref="K59:K63" si="13">I59*J59</f>
        <v>0.5</v>
      </c>
    </row>
    <row r="60" spans="1:11" ht="15">
      <c r="A60" s="113" t="s">
        <v>450</v>
      </c>
      <c r="B60" s="114">
        <f t="shared" si="11"/>
        <v>1.2</v>
      </c>
      <c r="C60" s="115">
        <f>'INGRESO POR VENTAS'!$B$6</f>
        <v>175</v>
      </c>
      <c r="D60" s="100" t="s">
        <v>7</v>
      </c>
      <c r="E60" s="99">
        <f t="shared" ref="E60" si="14">B60*C60</f>
        <v>210</v>
      </c>
      <c r="F60">
        <v>1000</v>
      </c>
      <c r="G60" t="s">
        <v>458</v>
      </c>
      <c r="H60" s="438">
        <v>12</v>
      </c>
      <c r="I60" s="438">
        <f t="shared" si="12"/>
        <v>1.2E-2</v>
      </c>
      <c r="J60" s="438">
        <v>100</v>
      </c>
      <c r="K60" s="438">
        <f t="shared" si="13"/>
        <v>1.2</v>
      </c>
    </row>
    <row r="61" spans="1:11" ht="15">
      <c r="A61" s="113" t="s">
        <v>451</v>
      </c>
      <c r="B61" s="114">
        <f t="shared" si="11"/>
        <v>0.43</v>
      </c>
      <c r="C61" s="115">
        <f>'INGRESO POR VENTAS'!$B$6</f>
        <v>175</v>
      </c>
      <c r="D61" s="100" t="s">
        <v>7</v>
      </c>
      <c r="E61" s="99">
        <f t="shared" si="10"/>
        <v>75.25</v>
      </c>
      <c r="F61">
        <v>1000</v>
      </c>
      <c r="G61" t="s">
        <v>458</v>
      </c>
      <c r="H61" s="438">
        <v>4.3</v>
      </c>
      <c r="I61" s="438">
        <f t="shared" si="12"/>
        <v>4.3E-3</v>
      </c>
      <c r="J61" s="438">
        <v>100</v>
      </c>
      <c r="K61" s="440">
        <f t="shared" si="13"/>
        <v>0.43</v>
      </c>
    </row>
    <row r="62" spans="1:11" ht="15">
      <c r="A62" s="113" t="s">
        <v>452</v>
      </c>
      <c r="B62" s="114">
        <f t="shared" si="11"/>
        <v>0.1</v>
      </c>
      <c r="C62" s="115">
        <f>'INGRESO POR VENTAS'!$B$6</f>
        <v>175</v>
      </c>
      <c r="D62" s="100" t="s">
        <v>7</v>
      </c>
      <c r="E62" s="99">
        <f t="shared" si="10"/>
        <v>17.5</v>
      </c>
      <c r="F62">
        <v>1000</v>
      </c>
      <c r="G62" t="s">
        <v>458</v>
      </c>
      <c r="H62" s="438">
        <v>4</v>
      </c>
      <c r="I62" s="438">
        <f t="shared" si="12"/>
        <v>4.0000000000000001E-3</v>
      </c>
      <c r="J62" s="438">
        <v>25</v>
      </c>
      <c r="K62" s="438">
        <f t="shared" si="13"/>
        <v>0.1</v>
      </c>
    </row>
    <row r="63" spans="1:11" ht="15">
      <c r="A63" s="113" t="s">
        <v>459</v>
      </c>
      <c r="B63" s="114">
        <f t="shared" si="11"/>
        <v>1.7999999999999998</v>
      </c>
      <c r="C63" s="115">
        <f>'INGRESO POR VENTAS'!$B$6</f>
        <v>175</v>
      </c>
      <c r="D63" s="100" t="s">
        <v>7</v>
      </c>
      <c r="E63" s="99">
        <f t="shared" si="10"/>
        <v>314.99999999999994</v>
      </c>
      <c r="F63">
        <v>1000</v>
      </c>
      <c r="G63" t="s">
        <v>458</v>
      </c>
      <c r="H63" s="438">
        <v>18</v>
      </c>
      <c r="I63" s="438">
        <f t="shared" si="12"/>
        <v>1.7999999999999999E-2</v>
      </c>
      <c r="J63" s="438">
        <v>100</v>
      </c>
      <c r="K63" s="438">
        <f t="shared" si="13"/>
        <v>1.7999999999999998</v>
      </c>
    </row>
    <row r="64" spans="1:11" ht="15">
      <c r="A64" s="116"/>
      <c r="B64" s="114"/>
      <c r="C64" s="115"/>
      <c r="D64" s="100"/>
      <c r="E64" s="99"/>
      <c r="F64"/>
      <c r="G64"/>
      <c r="H64" s="438"/>
      <c r="I64" s="438"/>
      <c r="J64" s="438"/>
      <c r="K64" s="438">
        <f>SUM(K58:K63)</f>
        <v>4.63</v>
      </c>
    </row>
    <row r="65" spans="1:11">
      <c r="A65" s="116"/>
      <c r="B65" s="114"/>
      <c r="C65" s="115"/>
      <c r="D65" s="100"/>
      <c r="E65" s="99"/>
    </row>
    <row r="66" spans="1:11">
      <c r="A66" s="143" t="s">
        <v>409</v>
      </c>
      <c r="B66" s="144">
        <f>SUM(B67:B72)</f>
        <v>12.504999999999999</v>
      </c>
      <c r="C66" s="145"/>
      <c r="D66" s="148"/>
      <c r="E66" s="147">
        <f>SUM(E67:E72)</f>
        <v>1588.135</v>
      </c>
    </row>
    <row r="67" spans="1:11" ht="15">
      <c r="A67" s="113" t="s">
        <v>334</v>
      </c>
      <c r="B67" s="114">
        <f>K67</f>
        <v>2.4</v>
      </c>
      <c r="C67" s="115">
        <f>'INGRESO POR VENTAS'!$B$7</f>
        <v>127</v>
      </c>
      <c r="D67" s="100" t="s">
        <v>7</v>
      </c>
      <c r="E67" s="99">
        <f>B67*C67</f>
        <v>304.8</v>
      </c>
      <c r="F67">
        <v>1000</v>
      </c>
      <c r="G67" t="s">
        <v>458</v>
      </c>
      <c r="H67" s="438">
        <v>6</v>
      </c>
      <c r="I67" s="438">
        <f>(H67)/F67</f>
        <v>6.0000000000000001E-3</v>
      </c>
      <c r="J67" s="438">
        <v>400</v>
      </c>
      <c r="K67" s="438">
        <f>I67*J67</f>
        <v>2.4</v>
      </c>
    </row>
    <row r="68" spans="1:11" ht="15">
      <c r="A68" s="113" t="s">
        <v>333</v>
      </c>
      <c r="B68" s="114">
        <f t="shared" ref="B68:B72" si="15">K68</f>
        <v>1.5</v>
      </c>
      <c r="C68" s="115">
        <f>'INGRESO POR VENTAS'!$B$7</f>
        <v>127</v>
      </c>
      <c r="D68" s="100" t="s">
        <v>7</v>
      </c>
      <c r="E68" s="99">
        <f t="shared" ref="E68" si="16">B68*C68</f>
        <v>190.5</v>
      </c>
      <c r="F68">
        <v>1000</v>
      </c>
      <c r="G68" t="s">
        <v>458</v>
      </c>
      <c r="H68" s="438">
        <v>10</v>
      </c>
      <c r="I68" s="438">
        <f t="shared" ref="I68:I72" si="17">(H68)/F68</f>
        <v>0.01</v>
      </c>
      <c r="J68" s="438">
        <v>150</v>
      </c>
      <c r="K68" s="438">
        <f t="shared" ref="K68:K72" si="18">I68*J68</f>
        <v>1.5</v>
      </c>
    </row>
    <row r="69" spans="1:11" ht="15">
      <c r="A69" s="113" t="s">
        <v>450</v>
      </c>
      <c r="B69" s="114">
        <f t="shared" si="15"/>
        <v>2.4</v>
      </c>
      <c r="C69" s="115">
        <f>'INGRESO POR VENTAS'!$B$7</f>
        <v>127</v>
      </c>
      <c r="D69" s="100" t="s">
        <v>7</v>
      </c>
      <c r="E69" s="99">
        <f t="shared" ref="E69:E72" si="19">B69*C69</f>
        <v>304.8</v>
      </c>
      <c r="F69">
        <v>1000</v>
      </c>
      <c r="G69" t="s">
        <v>458</v>
      </c>
      <c r="H69" s="438">
        <v>12</v>
      </c>
      <c r="I69" s="438">
        <f t="shared" si="17"/>
        <v>1.2E-2</v>
      </c>
      <c r="J69" s="438">
        <v>200</v>
      </c>
      <c r="K69" s="438">
        <f t="shared" si="18"/>
        <v>2.4</v>
      </c>
    </row>
    <row r="70" spans="1:11" ht="15">
      <c r="A70" s="113" t="s">
        <v>451</v>
      </c>
      <c r="B70" s="114">
        <f t="shared" si="15"/>
        <v>1.5049999999999999</v>
      </c>
      <c r="C70" s="115">
        <f>'INGRESO POR VENTAS'!$B$7</f>
        <v>127</v>
      </c>
      <c r="D70" s="100" t="s">
        <v>7</v>
      </c>
      <c r="E70" s="99">
        <f t="shared" si="19"/>
        <v>191.13499999999999</v>
      </c>
      <c r="F70">
        <v>1000</v>
      </c>
      <c r="G70" t="s">
        <v>458</v>
      </c>
      <c r="H70" s="438">
        <v>4.3</v>
      </c>
      <c r="I70" s="438">
        <f t="shared" si="17"/>
        <v>4.3E-3</v>
      </c>
      <c r="J70" s="438">
        <v>350</v>
      </c>
      <c r="K70" s="440">
        <f t="shared" si="18"/>
        <v>1.5049999999999999</v>
      </c>
    </row>
    <row r="71" spans="1:11" ht="15">
      <c r="A71" s="113" t="s">
        <v>452</v>
      </c>
      <c r="B71" s="114">
        <f t="shared" si="15"/>
        <v>0.2</v>
      </c>
      <c r="C71" s="115">
        <f>'INGRESO POR VENTAS'!$B$7</f>
        <v>127</v>
      </c>
      <c r="D71" s="100" t="s">
        <v>7</v>
      </c>
      <c r="E71" s="99">
        <f t="shared" si="19"/>
        <v>25.400000000000002</v>
      </c>
      <c r="F71">
        <v>1000</v>
      </c>
      <c r="G71" t="s">
        <v>458</v>
      </c>
      <c r="H71" s="438">
        <v>4</v>
      </c>
      <c r="I71" s="438">
        <f t="shared" si="17"/>
        <v>4.0000000000000001E-3</v>
      </c>
      <c r="J71" s="438">
        <v>50</v>
      </c>
      <c r="K71" s="438">
        <f t="shared" si="18"/>
        <v>0.2</v>
      </c>
    </row>
    <row r="72" spans="1:11" ht="15">
      <c r="A72" s="113" t="s">
        <v>459</v>
      </c>
      <c r="B72" s="114">
        <f t="shared" si="15"/>
        <v>4.5</v>
      </c>
      <c r="C72" s="115">
        <f>'INGRESO POR VENTAS'!$B$7</f>
        <v>127</v>
      </c>
      <c r="D72" s="100" t="s">
        <v>7</v>
      </c>
      <c r="E72" s="99">
        <f t="shared" si="19"/>
        <v>571.5</v>
      </c>
      <c r="F72">
        <v>1000</v>
      </c>
      <c r="G72" t="s">
        <v>458</v>
      </c>
      <c r="H72" s="438">
        <v>18</v>
      </c>
      <c r="I72" s="438">
        <f t="shared" si="17"/>
        <v>1.7999999999999999E-2</v>
      </c>
      <c r="J72" s="438">
        <v>250</v>
      </c>
      <c r="K72" s="438">
        <f t="shared" si="18"/>
        <v>4.5</v>
      </c>
    </row>
    <row r="73" spans="1:11" ht="15">
      <c r="A73" s="143" t="s">
        <v>410</v>
      </c>
      <c r="B73" s="144">
        <f>SUM(B74:B79)</f>
        <v>7.8925000000000001</v>
      </c>
      <c r="C73" s="145"/>
      <c r="D73" s="148"/>
      <c r="E73" s="468">
        <f>SUM(E74:E79)</f>
        <v>2154.6525000000001</v>
      </c>
      <c r="F73"/>
      <c r="G73"/>
      <c r="H73" s="438"/>
      <c r="I73" s="438"/>
      <c r="J73" s="438"/>
      <c r="K73" s="438">
        <f>SUM(K67:K72)</f>
        <v>12.504999999999999</v>
      </c>
    </row>
    <row r="74" spans="1:11" ht="15">
      <c r="A74" s="113" t="s">
        <v>334</v>
      </c>
      <c r="B74" s="114">
        <f>K74</f>
        <v>1.2</v>
      </c>
      <c r="C74" s="115">
        <f>'INGRESO POR VENTAS'!$B$8</f>
        <v>273</v>
      </c>
      <c r="D74" s="100" t="s">
        <v>7</v>
      </c>
      <c r="E74" s="99">
        <f t="shared" ref="E74:E79" si="20">B74*C74</f>
        <v>327.59999999999997</v>
      </c>
      <c r="F74">
        <v>1000</v>
      </c>
      <c r="G74" t="s">
        <v>458</v>
      </c>
      <c r="H74" s="438">
        <v>6</v>
      </c>
      <c r="I74" s="438">
        <f>(H74)/F74</f>
        <v>6.0000000000000001E-3</v>
      </c>
      <c r="J74" s="438">
        <v>200</v>
      </c>
      <c r="K74" s="438">
        <f>I74*J74</f>
        <v>1.2</v>
      </c>
    </row>
    <row r="75" spans="1:11" ht="14.25" customHeight="1">
      <c r="A75" s="113" t="s">
        <v>333</v>
      </c>
      <c r="B75" s="114">
        <f t="shared" ref="B75:B79" si="21">K75</f>
        <v>0.8</v>
      </c>
      <c r="C75" s="115">
        <f>'INGRESO POR VENTAS'!$B$8</f>
        <v>273</v>
      </c>
      <c r="D75" s="100" t="s">
        <v>7</v>
      </c>
      <c r="E75" s="99">
        <f t="shared" si="20"/>
        <v>218.4</v>
      </c>
      <c r="F75">
        <v>1000</v>
      </c>
      <c r="G75" t="s">
        <v>458</v>
      </c>
      <c r="H75" s="438">
        <v>10</v>
      </c>
      <c r="I75" s="438">
        <f t="shared" ref="I75:I79" si="22">(H75)/F75</f>
        <v>0.01</v>
      </c>
      <c r="J75" s="438">
        <v>80</v>
      </c>
      <c r="K75" s="438">
        <f t="shared" ref="K75:K79" si="23">I75*J75</f>
        <v>0.8</v>
      </c>
    </row>
    <row r="76" spans="1:11" ht="14.25" customHeight="1">
      <c r="A76" s="113" t="s">
        <v>450</v>
      </c>
      <c r="B76" s="114">
        <f t="shared" si="21"/>
        <v>1.8</v>
      </c>
      <c r="C76" s="115">
        <f>'INGRESO POR VENTAS'!$B$8</f>
        <v>273</v>
      </c>
      <c r="D76" s="100" t="s">
        <v>7</v>
      </c>
      <c r="E76" s="99">
        <f t="shared" ref="E76" si="24">B76*C76</f>
        <v>491.40000000000003</v>
      </c>
      <c r="F76">
        <v>1000</v>
      </c>
      <c r="G76" t="s">
        <v>458</v>
      </c>
      <c r="H76" s="438">
        <v>12</v>
      </c>
      <c r="I76" s="438">
        <f t="shared" si="22"/>
        <v>1.2E-2</v>
      </c>
      <c r="J76" s="438">
        <v>150</v>
      </c>
      <c r="K76" s="438">
        <f t="shared" si="23"/>
        <v>1.8</v>
      </c>
    </row>
    <row r="77" spans="1:11" ht="15">
      <c r="A77" s="113" t="s">
        <v>451</v>
      </c>
      <c r="B77" s="114">
        <f t="shared" si="21"/>
        <v>0.75249999999999995</v>
      </c>
      <c r="C77" s="115">
        <f>'INGRESO POR VENTAS'!$B$8</f>
        <v>273</v>
      </c>
      <c r="D77" s="100" t="s">
        <v>7</v>
      </c>
      <c r="E77" s="99">
        <f t="shared" si="20"/>
        <v>205.43249999999998</v>
      </c>
      <c r="F77">
        <v>1000</v>
      </c>
      <c r="G77" t="s">
        <v>458</v>
      </c>
      <c r="H77" s="438">
        <v>4.3</v>
      </c>
      <c r="I77" s="438">
        <f t="shared" si="22"/>
        <v>4.3E-3</v>
      </c>
      <c r="J77" s="438">
        <v>175</v>
      </c>
      <c r="K77" s="440">
        <f t="shared" si="23"/>
        <v>0.75249999999999995</v>
      </c>
    </row>
    <row r="78" spans="1:11" ht="15">
      <c r="A78" s="113" t="s">
        <v>452</v>
      </c>
      <c r="B78" s="114">
        <f t="shared" si="21"/>
        <v>0.1</v>
      </c>
      <c r="C78" s="115">
        <f>'INGRESO POR VENTAS'!$B$8</f>
        <v>273</v>
      </c>
      <c r="D78" s="100" t="s">
        <v>7</v>
      </c>
      <c r="E78" s="99">
        <f t="shared" si="20"/>
        <v>27.3</v>
      </c>
      <c r="F78">
        <v>1000</v>
      </c>
      <c r="G78" t="s">
        <v>458</v>
      </c>
      <c r="H78" s="438">
        <v>4</v>
      </c>
      <c r="I78" s="438">
        <f t="shared" si="22"/>
        <v>4.0000000000000001E-3</v>
      </c>
      <c r="J78" s="438">
        <v>25</v>
      </c>
      <c r="K78" s="438">
        <f t="shared" si="23"/>
        <v>0.1</v>
      </c>
    </row>
    <row r="79" spans="1:11" ht="15">
      <c r="A79" s="113" t="s">
        <v>459</v>
      </c>
      <c r="B79" s="114">
        <f t="shared" si="21"/>
        <v>3.2399999999999998</v>
      </c>
      <c r="C79" s="115">
        <f>'INGRESO POR VENTAS'!$B$8</f>
        <v>273</v>
      </c>
      <c r="D79" s="100" t="s">
        <v>7</v>
      </c>
      <c r="E79" s="99">
        <f t="shared" si="20"/>
        <v>884.52</v>
      </c>
      <c r="F79">
        <v>1000</v>
      </c>
      <c r="G79" t="s">
        <v>458</v>
      </c>
      <c r="H79" s="438">
        <v>18</v>
      </c>
      <c r="I79" s="438">
        <f t="shared" si="22"/>
        <v>1.7999999999999999E-2</v>
      </c>
      <c r="J79" s="438">
        <v>180</v>
      </c>
      <c r="K79" s="438">
        <f t="shared" si="23"/>
        <v>3.2399999999999998</v>
      </c>
    </row>
    <row r="80" spans="1:11" ht="15">
      <c r="A80" s="143" t="s">
        <v>361</v>
      </c>
      <c r="B80" s="145"/>
      <c r="C80" s="145"/>
      <c r="D80" s="145"/>
      <c r="E80" s="147">
        <f>SUM('PLANILLA DE EMPLEADOS'!N10,'PLANILLA DE EMPLEADOS'!N22)</f>
        <v>3869.5</v>
      </c>
      <c r="F80"/>
      <c r="G80"/>
      <c r="H80" s="438"/>
      <c r="I80" s="438"/>
      <c r="J80" s="438"/>
      <c r="K80" s="438">
        <f>SUM(K74:K79)</f>
        <v>7.8925000000000001</v>
      </c>
    </row>
    <row r="81" spans="1:5">
      <c r="A81" s="116"/>
      <c r="B81" s="116"/>
      <c r="C81" s="116"/>
      <c r="D81" s="116"/>
      <c r="E81" s="116"/>
    </row>
    <row r="82" spans="1:5">
      <c r="A82" s="116"/>
      <c r="B82" s="116"/>
      <c r="C82" s="116"/>
      <c r="D82" s="116"/>
      <c r="E82" s="116"/>
    </row>
    <row r="83" spans="1:5">
      <c r="A83" s="149" t="s">
        <v>362</v>
      </c>
      <c r="B83" s="150"/>
      <c r="C83" s="150"/>
      <c r="D83" s="150"/>
      <c r="E83" s="151">
        <f>SUM('GASTOS INDIRECTOS'!E6,'GASTOS INDIRECTOS'!E7)</f>
        <v>900</v>
      </c>
    </row>
    <row r="84" spans="1:5">
      <c r="A84" s="116"/>
      <c r="B84" s="116"/>
      <c r="C84" s="116"/>
      <c r="D84" s="116"/>
      <c r="E84" s="116"/>
    </row>
    <row r="85" spans="1:5">
      <c r="A85" s="149"/>
      <c r="B85" s="150"/>
      <c r="C85" s="150"/>
      <c r="D85" s="150"/>
      <c r="E85" s="151"/>
    </row>
    <row r="86" spans="1:5">
      <c r="A86" s="160" t="s">
        <v>37</v>
      </c>
      <c r="B86" s="153"/>
      <c r="C86" s="152"/>
      <c r="D86" s="152"/>
      <c r="E86" s="467">
        <f>E73+E66+E57+E50+E42+E80+E83</f>
        <v>12796.252500000001</v>
      </c>
    </row>
    <row r="87" spans="1:5">
      <c r="A87" s="161" t="s">
        <v>181</v>
      </c>
      <c r="B87" s="154"/>
      <c r="C87" s="155"/>
      <c r="D87" s="155"/>
      <c r="E87" s="466">
        <f>E86+E40</f>
        <v>26819.252500000002</v>
      </c>
    </row>
    <row r="88" spans="1:5">
      <c r="A88" s="119" t="s">
        <v>38</v>
      </c>
      <c r="B88" s="120"/>
      <c r="C88" s="119"/>
      <c r="D88" s="119"/>
      <c r="E88" s="119"/>
    </row>
    <row r="89" spans="1:5">
      <c r="A89" s="121"/>
      <c r="B89" s="120"/>
      <c r="C89" s="119"/>
      <c r="D89" s="119"/>
      <c r="E89" s="119"/>
    </row>
    <row r="90" spans="1:5">
      <c r="A90" s="122"/>
      <c r="B90" s="120"/>
      <c r="C90" s="123"/>
      <c r="D90" s="123"/>
      <c r="E90" s="123"/>
    </row>
    <row r="91" spans="1:5">
      <c r="A91" s="122"/>
      <c r="B91" s="120"/>
      <c r="C91" s="123"/>
      <c r="D91" s="123"/>
      <c r="E91" s="123"/>
    </row>
    <row r="92" spans="1:5">
      <c r="A92" s="121"/>
      <c r="B92" s="120"/>
      <c r="C92" s="119"/>
      <c r="D92" s="119"/>
      <c r="E92" s="119"/>
    </row>
    <row r="93" spans="1:5">
      <c r="A93" s="121"/>
      <c r="B93" s="120"/>
      <c r="C93" s="119"/>
      <c r="D93" s="119"/>
      <c r="E93" s="119"/>
    </row>
    <row r="94" spans="1:5">
      <c r="A94" s="121"/>
      <c r="B94" s="120"/>
      <c r="C94" s="119"/>
      <c r="D94" s="119"/>
      <c r="E94" s="119"/>
    </row>
    <row r="95" spans="1:5">
      <c r="A95" s="121"/>
      <c r="B95" s="120"/>
      <c r="C95" s="119"/>
      <c r="D95" s="119"/>
      <c r="E95" s="119"/>
    </row>
    <row r="96" spans="1:5">
      <c r="A96" s="121"/>
      <c r="B96" s="120"/>
      <c r="C96" s="119"/>
      <c r="D96" s="119"/>
      <c r="E96" s="119"/>
    </row>
    <row r="97" spans="1:5">
      <c r="A97" s="121"/>
      <c r="B97" s="120"/>
      <c r="C97" s="119"/>
      <c r="D97" s="119"/>
      <c r="E97" s="119"/>
    </row>
    <row r="98" spans="1:5">
      <c r="A98" s="121"/>
      <c r="B98" s="120"/>
      <c r="C98" s="119"/>
      <c r="D98" s="119"/>
      <c r="E98" s="119"/>
    </row>
    <row r="99" spans="1:5">
      <c r="A99" s="121"/>
      <c r="B99" s="120"/>
      <c r="C99" s="119"/>
      <c r="D99" s="119"/>
      <c r="E99" s="119"/>
    </row>
    <row r="100" spans="1:5">
      <c r="A100" s="121"/>
      <c r="B100" s="120"/>
      <c r="C100" s="119"/>
      <c r="D100" s="119"/>
      <c r="E100" s="119"/>
    </row>
    <row r="101" spans="1:5">
      <c r="A101" s="121"/>
      <c r="B101" s="120"/>
      <c r="C101" s="119"/>
      <c r="D101" s="119"/>
      <c r="E101" s="119"/>
    </row>
    <row r="102" spans="1:5">
      <c r="A102" s="121"/>
      <c r="B102" s="120"/>
      <c r="C102" s="119"/>
      <c r="D102" s="119"/>
      <c r="E102" s="119"/>
    </row>
    <row r="103" spans="1:5">
      <c r="A103" s="121"/>
      <c r="B103" s="120"/>
      <c r="C103" s="119"/>
      <c r="D103" s="119"/>
      <c r="E103" s="119"/>
    </row>
    <row r="104" spans="1:5">
      <c r="A104" s="121"/>
      <c r="B104" s="120"/>
      <c r="C104" s="119"/>
      <c r="D104" s="119"/>
      <c r="E104" s="119"/>
    </row>
    <row r="105" spans="1:5">
      <c r="A105" s="121"/>
      <c r="B105" s="120"/>
      <c r="C105" s="119"/>
      <c r="D105" s="119"/>
      <c r="E105" s="119"/>
    </row>
    <row r="106" spans="1:5">
      <c r="A106" s="121"/>
      <c r="B106" s="120"/>
      <c r="C106" s="119"/>
      <c r="D106" s="119"/>
      <c r="E106" s="119"/>
    </row>
    <row r="107" spans="1:5">
      <c r="A107" s="6"/>
    </row>
    <row r="108" spans="1:5">
      <c r="A108" s="6"/>
    </row>
  </sheetData>
  <mergeCells count="7">
    <mergeCell ref="F42:G42"/>
    <mergeCell ref="A1:E1"/>
    <mergeCell ref="A3:A4"/>
    <mergeCell ref="B3:B4"/>
    <mergeCell ref="C3:C4"/>
    <mergeCell ref="D3:D4"/>
    <mergeCell ref="E3:E4"/>
  </mergeCells>
  <pageMargins left="0.38" right="0.49" top="0.43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showGridLines="0" workbookViewId="0">
      <selection activeCell="F6" sqref="F6"/>
    </sheetView>
  </sheetViews>
  <sheetFormatPr baseColWidth="10" defaultRowHeight="13.5"/>
  <cols>
    <col min="1" max="1" width="19.85546875" style="8" customWidth="1"/>
    <col min="2" max="2" width="12.7109375" style="8" customWidth="1"/>
    <col min="3" max="3" width="14.42578125" style="8" customWidth="1"/>
    <col min="4" max="4" width="13.85546875" style="8" customWidth="1"/>
    <col min="5" max="16384" width="11.42578125" style="8"/>
  </cols>
  <sheetData>
    <row r="1" spans="1:5">
      <c r="A1" s="494" t="s">
        <v>40</v>
      </c>
      <c r="B1" s="494"/>
      <c r="C1" s="494"/>
      <c r="D1" s="494"/>
      <c r="E1" s="494"/>
    </row>
    <row r="2" spans="1:5">
      <c r="A2" s="162"/>
      <c r="B2" s="162"/>
      <c r="C2" s="162"/>
      <c r="D2" s="162"/>
      <c r="E2" s="162"/>
    </row>
    <row r="3" spans="1:5">
      <c r="A3" s="496" t="s">
        <v>41</v>
      </c>
      <c r="B3" s="495" t="s">
        <v>42</v>
      </c>
      <c r="C3" s="495"/>
      <c r="D3" s="495"/>
      <c r="E3" s="495"/>
    </row>
    <row r="4" spans="1:5" ht="24">
      <c r="A4" s="496"/>
      <c r="B4" s="163" t="s">
        <v>54</v>
      </c>
      <c r="C4" s="163" t="s">
        <v>47</v>
      </c>
      <c r="D4" s="163" t="s">
        <v>46</v>
      </c>
      <c r="E4" s="163" t="s">
        <v>43</v>
      </c>
    </row>
    <row r="5" spans="1:5">
      <c r="A5" s="164" t="s">
        <v>44</v>
      </c>
      <c r="B5" s="165">
        <v>5000</v>
      </c>
      <c r="C5" s="165">
        <f>C7-C6</f>
        <v>7796.2525000000005</v>
      </c>
      <c r="D5" s="165">
        <f>SUM(B5:C5)</f>
        <v>12796.252500000001</v>
      </c>
      <c r="E5" s="166">
        <f>(D5*E6)/D6</f>
        <v>0.47712934952232544</v>
      </c>
    </row>
    <row r="6" spans="1:5">
      <c r="A6" s="164" t="s">
        <v>45</v>
      </c>
      <c r="B6" s="165">
        <f>B7-B5</f>
        <v>9023</v>
      </c>
      <c r="C6" s="165">
        <v>5000</v>
      </c>
      <c r="D6" s="165">
        <f t="shared" ref="D6:D7" si="0">SUM(B6:C6)</f>
        <v>14023</v>
      </c>
      <c r="E6" s="166">
        <f>(D6*E7)/D7</f>
        <v>0.52287065047767456</v>
      </c>
    </row>
    <row r="7" spans="1:5">
      <c r="A7" s="167" t="s">
        <v>46</v>
      </c>
      <c r="B7" s="168">
        <f>'INVERSION TOTAL'!E40</f>
        <v>14023</v>
      </c>
      <c r="C7" s="168">
        <f>'INVERSION TOTAL'!E86</f>
        <v>12796.252500000001</v>
      </c>
      <c r="D7" s="168">
        <f t="shared" si="0"/>
        <v>26819.252500000002</v>
      </c>
      <c r="E7" s="169">
        <v>1</v>
      </c>
    </row>
    <row r="8" spans="1:5">
      <c r="A8" s="162" t="s">
        <v>38</v>
      </c>
      <c r="B8" s="162"/>
      <c r="C8" s="162"/>
      <c r="D8" s="162"/>
      <c r="E8" s="162"/>
    </row>
    <row r="9" spans="1:5">
      <c r="A9" s="162"/>
      <c r="B9" s="162"/>
      <c r="C9" s="162"/>
      <c r="D9" s="162"/>
      <c r="E9" s="162"/>
    </row>
    <row r="10" spans="1:5">
      <c r="A10" s="162"/>
      <c r="B10" s="162"/>
      <c r="C10" s="162"/>
      <c r="D10" s="162"/>
      <c r="E10" s="162"/>
    </row>
  </sheetData>
  <mergeCells count="3">
    <mergeCell ref="A1:E1"/>
    <mergeCell ref="B3:E3"/>
    <mergeCell ref="A3:A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5"/>
  <sheetViews>
    <sheetView showGridLines="0" zoomScale="145" zoomScaleNormal="145" workbookViewId="0"/>
  </sheetViews>
  <sheetFormatPr baseColWidth="10" defaultRowHeight="12.75"/>
  <cols>
    <col min="1" max="1" width="11.42578125" style="9"/>
    <col min="2" max="2" width="12.28515625" style="9" customWidth="1"/>
    <col min="3" max="3" width="9.7109375" style="9" customWidth="1"/>
    <col min="4" max="4" width="11.28515625" style="9" customWidth="1"/>
    <col min="5" max="5" width="8.140625" style="9" customWidth="1"/>
    <col min="6" max="6" width="9.140625" style="9" customWidth="1"/>
    <col min="7" max="7" width="14.42578125" style="9" customWidth="1"/>
    <col min="8" max="8" width="12.7109375" style="9" customWidth="1"/>
    <col min="9" max="16384" width="11.42578125" style="9"/>
  </cols>
  <sheetData>
    <row r="1" spans="2:10">
      <c r="B1" s="53"/>
      <c r="C1" s="53"/>
      <c r="D1" s="53"/>
      <c r="E1" s="53"/>
      <c r="F1" s="53"/>
      <c r="G1" s="53"/>
      <c r="H1" s="53"/>
      <c r="I1" s="53"/>
      <c r="J1" s="53"/>
    </row>
    <row r="2" spans="2:10">
      <c r="B2" s="497" t="s">
        <v>45</v>
      </c>
      <c r="C2" s="497"/>
      <c r="D2" s="170"/>
      <c r="E2" s="171"/>
      <c r="F2" s="171"/>
      <c r="G2" s="53"/>
      <c r="H2" s="53"/>
      <c r="I2" s="53"/>
      <c r="J2" s="53"/>
    </row>
    <row r="3" spans="2:10">
      <c r="B3" s="172" t="s">
        <v>188</v>
      </c>
      <c r="C3" s="173">
        <f>FINANCIAMIENTO!D6</f>
        <v>14023</v>
      </c>
      <c r="D3" s="174"/>
      <c r="E3" s="175"/>
      <c r="F3" s="175"/>
      <c r="G3" s="53"/>
      <c r="H3" s="53"/>
      <c r="I3" s="53"/>
      <c r="J3" s="53"/>
    </row>
    <row r="4" spans="2:10">
      <c r="B4" s="172" t="s">
        <v>189</v>
      </c>
      <c r="C4" s="176">
        <v>0.32919999999999999</v>
      </c>
      <c r="D4" s="177"/>
      <c r="E4" s="175"/>
      <c r="F4" s="175"/>
      <c r="G4" s="53"/>
      <c r="H4" s="53"/>
      <c r="I4" s="53"/>
      <c r="J4" s="53"/>
    </row>
    <row r="5" spans="2:10">
      <c r="B5" s="172" t="s">
        <v>190</v>
      </c>
      <c r="C5" s="173">
        <v>24</v>
      </c>
      <c r="D5" s="178"/>
      <c r="E5" s="60"/>
      <c r="F5" s="175"/>
      <c r="G5" s="53"/>
      <c r="H5" s="54" t="s">
        <v>396</v>
      </c>
      <c r="I5" s="55" t="s">
        <v>397</v>
      </c>
      <c r="J5" s="56"/>
    </row>
    <row r="6" spans="2:10">
      <c r="B6" s="172" t="s">
        <v>191</v>
      </c>
      <c r="C6" s="179">
        <v>0.63800000000000001</v>
      </c>
      <c r="D6" s="177"/>
      <c r="E6" s="60"/>
      <c r="F6" s="175"/>
      <c r="G6" s="53"/>
      <c r="H6" s="53"/>
      <c r="I6" s="53"/>
      <c r="J6" s="53"/>
    </row>
    <row r="7" spans="2:10">
      <c r="B7" s="172" t="s">
        <v>185</v>
      </c>
      <c r="C7" s="180">
        <f>(((1+(C4/100))^(1/C5))-1)*100</f>
        <v>1.3695076151631902E-2</v>
      </c>
      <c r="D7" s="177"/>
      <c r="E7" s="60"/>
      <c r="F7" s="175"/>
      <c r="G7" s="53"/>
      <c r="H7" s="54" t="s">
        <v>396</v>
      </c>
      <c r="I7" s="57">
        <f>((1+(C4/100))^(1/24))-1</f>
        <v>1.3695076151631902E-4</v>
      </c>
      <c r="J7" s="53"/>
    </row>
    <row r="8" spans="2:10">
      <c r="B8" s="172" t="s">
        <v>186</v>
      </c>
      <c r="C8" s="180">
        <f>(((1+(C6/100))^(1/C5))-1)*100</f>
        <v>2.6502402735473218E-2</v>
      </c>
      <c r="D8" s="177"/>
      <c r="E8" s="473"/>
      <c r="F8" s="175"/>
      <c r="G8" s="53"/>
      <c r="H8" s="58" t="s">
        <v>396</v>
      </c>
      <c r="I8" s="59">
        <f>I7*100</f>
        <v>1.3695076151631902E-2</v>
      </c>
      <c r="J8" s="53"/>
    </row>
    <row r="9" spans="2:10">
      <c r="B9" s="172" t="s">
        <v>187</v>
      </c>
      <c r="C9" s="181">
        <f>(SUM(C7:C8))/100</f>
        <v>4.019747888710512E-4</v>
      </c>
      <c r="D9" s="177"/>
      <c r="E9" s="60"/>
      <c r="F9" s="175"/>
      <c r="G9" s="53"/>
      <c r="H9" s="53"/>
      <c r="I9" s="53"/>
      <c r="J9" s="53"/>
    </row>
    <row r="10" spans="2:10">
      <c r="B10" s="172" t="s">
        <v>123</v>
      </c>
      <c r="C10" s="173">
        <f>C3*(((C9*((1+C9)^C5)))/(((1+C9)^C5)-1))</f>
        <v>587.23207115218224</v>
      </c>
      <c r="D10" s="177"/>
      <c r="E10" s="60"/>
      <c r="F10" s="175"/>
      <c r="G10" s="53"/>
      <c r="H10" s="53"/>
      <c r="I10" s="53"/>
      <c r="J10" s="53"/>
    </row>
    <row r="11" spans="2:10">
      <c r="B11" s="53"/>
      <c r="C11" s="182"/>
      <c r="D11" s="177"/>
      <c r="E11" s="60"/>
      <c r="F11" s="175"/>
      <c r="G11" s="53"/>
      <c r="H11" s="53"/>
      <c r="I11" s="53"/>
      <c r="J11" s="53"/>
    </row>
    <row r="12" spans="2:10">
      <c r="B12" s="183" t="s">
        <v>124</v>
      </c>
      <c r="C12" s="183"/>
      <c r="D12" s="183"/>
      <c r="E12" s="183"/>
      <c r="F12" s="183"/>
      <c r="G12" s="53"/>
      <c r="H12" s="53"/>
      <c r="I12" s="53"/>
      <c r="J12" s="53"/>
    </row>
    <row r="13" spans="2:10">
      <c r="B13" s="183"/>
      <c r="C13" s="183"/>
      <c r="D13" s="183"/>
      <c r="E13" s="183"/>
      <c r="F13" s="183"/>
      <c r="G13" s="472"/>
      <c r="H13" s="60"/>
      <c r="I13" s="60"/>
      <c r="J13" s="53"/>
    </row>
    <row r="14" spans="2:10" ht="12.75" customHeight="1">
      <c r="B14" s="186" t="s">
        <v>120</v>
      </c>
      <c r="C14" s="186" t="s">
        <v>121</v>
      </c>
      <c r="D14" s="186" t="s">
        <v>192</v>
      </c>
      <c r="E14" s="186" t="s">
        <v>122</v>
      </c>
      <c r="F14" s="186" t="s">
        <v>123</v>
      </c>
      <c r="G14" s="471"/>
      <c r="H14" s="498" t="s">
        <v>398</v>
      </c>
      <c r="I14" s="501" t="s">
        <v>399</v>
      </c>
      <c r="J14" s="53"/>
    </row>
    <row r="15" spans="2:10" ht="12.75" customHeight="1">
      <c r="B15" s="184">
        <v>0</v>
      </c>
      <c r="C15" s="185">
        <f>C3</f>
        <v>14023</v>
      </c>
      <c r="D15" s="185">
        <v>0</v>
      </c>
      <c r="E15" s="185">
        <v>0</v>
      </c>
      <c r="F15" s="185">
        <f t="shared" ref="F15:F39" si="0">$C$10</f>
        <v>587.23207115218224</v>
      </c>
      <c r="G15" s="60"/>
      <c r="H15" s="499"/>
      <c r="I15" s="502"/>
      <c r="J15" s="53"/>
    </row>
    <row r="16" spans="2:10" ht="12.75" customHeight="1">
      <c r="B16" s="184">
        <v>1</v>
      </c>
      <c r="C16" s="185">
        <f>C15-D16</f>
        <v>13441.404821312157</v>
      </c>
      <c r="D16" s="185">
        <f>F15-(C15*$C$9)</f>
        <v>581.59517868784349</v>
      </c>
      <c r="E16" s="185">
        <f>F16-D16</f>
        <v>5.6368924643387572</v>
      </c>
      <c r="F16" s="185">
        <f t="shared" si="0"/>
        <v>587.23207115218224</v>
      </c>
      <c r="G16" s="60"/>
      <c r="H16" s="499"/>
      <c r="I16" s="503" t="s">
        <v>400</v>
      </c>
      <c r="J16" s="53"/>
    </row>
    <row r="17" spans="2:10" ht="12.75" customHeight="1">
      <c r="B17" s="184">
        <f>B16+1</f>
        <v>2</v>
      </c>
      <c r="C17" s="185">
        <f t="shared" ref="C17:C27" si="1">C16-D17</f>
        <v>12859.575856025152</v>
      </c>
      <c r="D17" s="185">
        <f t="shared" ref="D17:D27" si="2">F16-(C16*$C$9)</f>
        <v>581.82896528700496</v>
      </c>
      <c r="E17" s="185">
        <f t="shared" ref="E17:E27" si="3">F17-D17</f>
        <v>5.403105865177281</v>
      </c>
      <c r="F17" s="185">
        <f t="shared" si="0"/>
        <v>587.23207115218224</v>
      </c>
      <c r="G17" s="60"/>
      <c r="H17" s="500"/>
      <c r="I17" s="504"/>
      <c r="J17" s="53"/>
    </row>
    <row r="18" spans="2:10">
      <c r="B18" s="184">
        <f t="shared" ref="B18:B39" si="4">B17+1</f>
        <v>3</v>
      </c>
      <c r="C18" s="185">
        <f t="shared" si="1"/>
        <v>12277.513010162667</v>
      </c>
      <c r="D18" s="185">
        <f t="shared" si="2"/>
        <v>582.06284586248523</v>
      </c>
      <c r="E18" s="185">
        <f>F18-D18</f>
        <v>5.1692252896970103</v>
      </c>
      <c r="F18" s="185">
        <f t="shared" si="0"/>
        <v>587.23207115218224</v>
      </c>
      <c r="G18" s="60"/>
      <c r="H18" s="60"/>
      <c r="I18" s="60"/>
      <c r="J18" s="53"/>
    </row>
    <row r="19" spans="2:10">
      <c r="B19" s="184">
        <f t="shared" si="4"/>
        <v>4</v>
      </c>
      <c r="C19" s="185">
        <f t="shared" si="1"/>
        <v>11695.216189710607</v>
      </c>
      <c r="D19" s="185">
        <f t="shared" si="2"/>
        <v>582.2968204520605</v>
      </c>
      <c r="E19" s="185">
        <f t="shared" si="3"/>
        <v>4.9352507001217418</v>
      </c>
      <c r="F19" s="185">
        <f t="shared" si="0"/>
        <v>587.23207115218224</v>
      </c>
      <c r="G19" s="60"/>
      <c r="H19" s="60" t="s">
        <v>401</v>
      </c>
      <c r="I19" s="60"/>
      <c r="J19" s="53"/>
    </row>
    <row r="20" spans="2:10">
      <c r="B20" s="184">
        <f t="shared" si="4"/>
        <v>5</v>
      </c>
      <c r="C20" s="185">
        <f t="shared" si="1"/>
        <v>11112.685300617086</v>
      </c>
      <c r="D20" s="185">
        <f t="shared" si="2"/>
        <v>582.53088909352198</v>
      </c>
      <c r="E20" s="185">
        <f t="shared" si="3"/>
        <v>4.7011820586602653</v>
      </c>
      <c r="F20" s="185">
        <f t="shared" si="0"/>
        <v>587.23207115218224</v>
      </c>
      <c r="G20" s="60"/>
      <c r="H20" s="60" t="s">
        <v>402</v>
      </c>
      <c r="I20" s="60"/>
      <c r="J20" s="53"/>
    </row>
    <row r="21" spans="2:10">
      <c r="B21" s="184">
        <f t="shared" si="4"/>
        <v>6</v>
      </c>
      <c r="C21" s="185">
        <f t="shared" si="1"/>
        <v>10529.92024879241</v>
      </c>
      <c r="D21" s="185">
        <f t="shared" si="2"/>
        <v>582.76505182467622</v>
      </c>
      <c r="E21" s="185">
        <f t="shared" si="3"/>
        <v>4.4670193275060228</v>
      </c>
      <c r="F21" s="185">
        <f t="shared" si="0"/>
        <v>587.23207115218224</v>
      </c>
      <c r="G21" s="53"/>
      <c r="H21" s="53" t="s">
        <v>403</v>
      </c>
      <c r="I21" s="53"/>
      <c r="J21" s="53"/>
    </row>
    <row r="22" spans="2:10">
      <c r="B22" s="184">
        <f t="shared" si="4"/>
        <v>7</v>
      </c>
      <c r="C22" s="185">
        <f t="shared" si="1"/>
        <v>9946.9209401090648</v>
      </c>
      <c r="D22" s="185">
        <f t="shared" si="2"/>
        <v>582.99930868334491</v>
      </c>
      <c r="E22" s="185">
        <f>F22-D22</f>
        <v>4.2327624688373362</v>
      </c>
      <c r="F22" s="185">
        <f t="shared" si="0"/>
        <v>587.23207115218224</v>
      </c>
      <c r="G22" s="53"/>
      <c r="H22" s="53" t="s">
        <v>404</v>
      </c>
      <c r="I22" s="53"/>
      <c r="J22" s="53"/>
    </row>
    <row r="23" spans="2:10">
      <c r="B23" s="184">
        <f t="shared" si="4"/>
        <v>8</v>
      </c>
      <c r="C23" s="185">
        <f t="shared" si="1"/>
        <v>9363.6872804017003</v>
      </c>
      <c r="D23" s="185">
        <f t="shared" si="2"/>
        <v>583.23365970736484</v>
      </c>
      <c r="E23" s="185">
        <f t="shared" si="3"/>
        <v>3.9984114448174068</v>
      </c>
      <c r="F23" s="185">
        <f t="shared" si="0"/>
        <v>587.23207115218224</v>
      </c>
      <c r="G23" s="53"/>
      <c r="H23" s="53"/>
      <c r="I23" s="53"/>
      <c r="J23" s="53"/>
    </row>
    <row r="24" spans="2:10">
      <c r="B24" s="184">
        <f t="shared" si="4"/>
        <v>9</v>
      </c>
      <c r="C24" s="185">
        <f t="shared" si="1"/>
        <v>8780.2191754671112</v>
      </c>
      <c r="D24" s="185">
        <f t="shared" si="2"/>
        <v>583.46810493458827</v>
      </c>
      <c r="E24" s="185">
        <f t="shared" si="3"/>
        <v>3.7639662175939748</v>
      </c>
      <c r="F24" s="185">
        <f t="shared" si="0"/>
        <v>587.23207115218224</v>
      </c>
      <c r="G24" s="505" t="s">
        <v>405</v>
      </c>
      <c r="H24" s="507" t="s">
        <v>406</v>
      </c>
      <c r="I24" s="61">
        <f>(C4)*(1+C4)^24</f>
        <v>304.52840588572576</v>
      </c>
      <c r="J24" s="53"/>
    </row>
    <row r="25" spans="2:10">
      <c r="B25" s="184">
        <f t="shared" si="4"/>
        <v>10</v>
      </c>
      <c r="C25" s="185">
        <f t="shared" si="1"/>
        <v>8196.5165310642296</v>
      </c>
      <c r="D25" s="185">
        <f t="shared" si="2"/>
        <v>583.70264440288224</v>
      </c>
      <c r="E25" s="185">
        <f t="shared" si="3"/>
        <v>3.5294267493000007</v>
      </c>
      <c r="F25" s="185">
        <f t="shared" si="0"/>
        <v>587.23207115218224</v>
      </c>
      <c r="G25" s="506"/>
      <c r="H25" s="508"/>
      <c r="I25" s="62">
        <f>((1+C4)^24)-1</f>
        <v>924.0559109529944</v>
      </c>
      <c r="J25" s="53"/>
    </row>
    <row r="26" spans="2:10">
      <c r="B26" s="184">
        <f t="shared" si="4"/>
        <v>11</v>
      </c>
      <c r="C26" s="185">
        <f t="shared" si="1"/>
        <v>7612.5792529140999</v>
      </c>
      <c r="D26" s="185">
        <f t="shared" si="2"/>
        <v>583.9372781501296</v>
      </c>
      <c r="E26" s="185">
        <f>F26-D26</f>
        <v>3.2947930020526428</v>
      </c>
      <c r="F26" s="185">
        <f t="shared" si="0"/>
        <v>587.23207115218224</v>
      </c>
      <c r="G26" s="53"/>
      <c r="H26" s="53"/>
      <c r="I26" s="53"/>
      <c r="J26" s="53"/>
    </row>
    <row r="27" spans="2:10">
      <c r="B27" s="184">
        <f t="shared" si="4"/>
        <v>12</v>
      </c>
      <c r="C27" s="185">
        <f t="shared" si="1"/>
        <v>7028.4072466998723</v>
      </c>
      <c r="D27" s="185">
        <f t="shared" si="2"/>
        <v>584.17200621422796</v>
      </c>
      <c r="E27" s="185">
        <f t="shared" si="3"/>
        <v>3.0600649379542801</v>
      </c>
      <c r="F27" s="185">
        <f t="shared" si="0"/>
        <v>587.23207115218224</v>
      </c>
      <c r="G27" s="54" t="str">
        <f>G24</f>
        <v>R =</v>
      </c>
      <c r="H27" s="63" t="str">
        <f>H24</f>
        <v>10000 x</v>
      </c>
      <c r="I27" s="56">
        <f>I24/I25</f>
        <v>0.32955625549936746</v>
      </c>
      <c r="J27" s="53"/>
    </row>
    <row r="28" spans="2:10">
      <c r="B28" s="184">
        <f t="shared" si="4"/>
        <v>13</v>
      </c>
      <c r="C28" s="185">
        <f t="shared" ref="C28:C39" si="5">C27-D28</f>
        <v>6444.000418066782</v>
      </c>
      <c r="D28" s="185">
        <f t="shared" ref="D28:D39" si="6">F27-(C27*$C$9)</f>
        <v>584.4068286330903</v>
      </c>
      <c r="E28" s="185">
        <f t="shared" ref="E28:E39" si="7">F28-D28</f>
        <v>2.8252425190919439</v>
      </c>
      <c r="F28" s="185">
        <f t="shared" si="0"/>
        <v>587.23207115218224</v>
      </c>
      <c r="G28" s="53"/>
      <c r="H28" s="53"/>
      <c r="I28" s="53"/>
      <c r="J28" s="53"/>
    </row>
    <row r="29" spans="2:10">
      <c r="B29" s="184">
        <f t="shared" si="4"/>
        <v>14</v>
      </c>
      <c r="C29" s="185">
        <f t="shared" si="5"/>
        <v>5859.3586726221374</v>
      </c>
      <c r="D29" s="185">
        <f t="shared" si="6"/>
        <v>584.64174544464493</v>
      </c>
      <c r="E29" s="185">
        <f t="shared" si="7"/>
        <v>2.5903257075373176</v>
      </c>
      <c r="F29" s="185">
        <f t="shared" si="0"/>
        <v>587.23207115218224</v>
      </c>
      <c r="G29" s="54" t="str">
        <f>G24</f>
        <v>R =</v>
      </c>
      <c r="H29" s="64"/>
      <c r="I29" s="53"/>
      <c r="J29" s="53"/>
    </row>
    <row r="30" spans="2:10">
      <c r="B30" s="184">
        <f t="shared" si="4"/>
        <v>15</v>
      </c>
      <c r="C30" s="185">
        <f t="shared" si="5"/>
        <v>5274.4819159353019</v>
      </c>
      <c r="D30" s="185">
        <f t="shared" si="6"/>
        <v>584.87675668683517</v>
      </c>
      <c r="E30" s="185">
        <f t="shared" si="7"/>
        <v>2.3553144653470781</v>
      </c>
      <c r="F30" s="185">
        <f t="shared" si="0"/>
        <v>587.23207115218224</v>
      </c>
      <c r="G30" s="53"/>
      <c r="H30" s="53"/>
      <c r="I30" s="53"/>
      <c r="J30" s="53"/>
    </row>
    <row r="31" spans="2:10">
      <c r="B31" s="184">
        <f t="shared" si="4"/>
        <v>16</v>
      </c>
      <c r="C31" s="185">
        <f t="shared" si="5"/>
        <v>4689.370053537682</v>
      </c>
      <c r="D31" s="185">
        <f t="shared" si="6"/>
        <v>585.11186239761992</v>
      </c>
      <c r="E31" s="185">
        <f t="shared" si="7"/>
        <v>2.1202087545623272</v>
      </c>
      <c r="F31" s="185">
        <f t="shared" si="0"/>
        <v>587.23207115218224</v>
      </c>
      <c r="G31" s="53"/>
      <c r="H31" s="53"/>
      <c r="I31" s="53"/>
      <c r="J31" s="53"/>
    </row>
    <row r="32" spans="2:10">
      <c r="B32" s="184">
        <f t="shared" si="4"/>
        <v>17</v>
      </c>
      <c r="C32" s="185">
        <f t="shared" si="5"/>
        <v>4104.0229909227091</v>
      </c>
      <c r="D32" s="185">
        <f t="shared" si="6"/>
        <v>585.3470626149732</v>
      </c>
      <c r="E32" s="185">
        <f t="shared" si="7"/>
        <v>1.8850085372090462</v>
      </c>
      <c r="F32" s="185">
        <f t="shared" si="0"/>
        <v>587.23207115218224</v>
      </c>
      <c r="G32" s="53"/>
      <c r="H32" s="53"/>
      <c r="I32" s="53"/>
      <c r="J32" s="53"/>
    </row>
    <row r="33" spans="2:10">
      <c r="B33" s="184">
        <f t="shared" si="4"/>
        <v>18</v>
      </c>
      <c r="C33" s="185">
        <f t="shared" si="5"/>
        <v>3518.4406335458252</v>
      </c>
      <c r="D33" s="185">
        <f t="shared" si="6"/>
        <v>585.58235737688415</v>
      </c>
      <c r="E33" s="185">
        <f t="shared" si="7"/>
        <v>1.6497137752980962</v>
      </c>
      <c r="F33" s="185">
        <f t="shared" si="0"/>
        <v>587.23207115218224</v>
      </c>
      <c r="G33" s="53"/>
      <c r="H33" s="53"/>
      <c r="I33" s="53"/>
      <c r="J33" s="53"/>
    </row>
    <row r="34" spans="2:10">
      <c r="B34" s="184">
        <f t="shared" si="4"/>
        <v>19</v>
      </c>
      <c r="C34" s="185">
        <f t="shared" si="5"/>
        <v>2932.622886824468</v>
      </c>
      <c r="D34" s="185">
        <f t="shared" si="6"/>
        <v>585.81774672135737</v>
      </c>
      <c r="E34" s="185">
        <f t="shared" si="7"/>
        <v>1.4143244308248768</v>
      </c>
      <c r="F34" s="185">
        <f t="shared" si="0"/>
        <v>587.23207115218224</v>
      </c>
      <c r="G34" s="53"/>
      <c r="H34" s="53"/>
      <c r="I34" s="53"/>
      <c r="J34" s="53"/>
    </row>
    <row r="35" spans="2:10">
      <c r="B35" s="184">
        <f t="shared" si="4"/>
        <v>20</v>
      </c>
      <c r="C35" s="185">
        <f t="shared" si="5"/>
        <v>2346.5696561380555</v>
      </c>
      <c r="D35" s="185">
        <f t="shared" si="6"/>
        <v>586.05323068641258</v>
      </c>
      <c r="E35" s="185">
        <f t="shared" si="7"/>
        <v>1.1788404657696674</v>
      </c>
      <c r="F35" s="185">
        <f t="shared" si="0"/>
        <v>587.23207115218224</v>
      </c>
      <c r="G35" s="53"/>
      <c r="H35" s="53"/>
      <c r="I35" s="53"/>
      <c r="J35" s="53"/>
    </row>
    <row r="36" spans="2:10">
      <c r="B36" s="184">
        <f t="shared" si="4"/>
        <v>21</v>
      </c>
      <c r="C36" s="185">
        <f t="shared" si="5"/>
        <v>1760.2808468279704</v>
      </c>
      <c r="D36" s="185">
        <f t="shared" si="6"/>
        <v>586.28880931008496</v>
      </c>
      <c r="E36" s="185">
        <f t="shared" si="7"/>
        <v>0.94326184209728581</v>
      </c>
      <c r="F36" s="185">
        <f t="shared" si="0"/>
        <v>587.23207115218224</v>
      </c>
      <c r="G36" s="53"/>
      <c r="H36" s="53"/>
      <c r="I36" s="53"/>
      <c r="J36" s="53"/>
    </row>
    <row r="37" spans="2:10">
      <c r="B37" s="184">
        <f t="shared" si="4"/>
        <v>22</v>
      </c>
      <c r="C37" s="185">
        <f t="shared" si="5"/>
        <v>1173.7563641975457</v>
      </c>
      <c r="D37" s="185">
        <f t="shared" si="6"/>
        <v>586.52448263042481</v>
      </c>
      <c r="E37" s="185">
        <f t="shared" si="7"/>
        <v>0.70758852175742959</v>
      </c>
      <c r="F37" s="185">
        <f t="shared" si="0"/>
        <v>587.23207115218224</v>
      </c>
      <c r="G37" s="53"/>
      <c r="H37" s="53"/>
      <c r="I37" s="53"/>
      <c r="J37" s="53"/>
    </row>
    <row r="38" spans="2:10">
      <c r="B38" s="184">
        <f t="shared" si="4"/>
        <v>23</v>
      </c>
      <c r="C38" s="185">
        <f t="shared" si="5"/>
        <v>586.99611351204783</v>
      </c>
      <c r="D38" s="185">
        <f t="shared" si="6"/>
        <v>586.76025068549791</v>
      </c>
      <c r="E38" s="185">
        <f t="shared" si="7"/>
        <v>0.47182046668433486</v>
      </c>
      <c r="F38" s="185">
        <f t="shared" si="0"/>
        <v>587.23207115218224</v>
      </c>
      <c r="G38" s="53"/>
      <c r="H38" s="53"/>
      <c r="I38" s="53"/>
      <c r="J38" s="53"/>
    </row>
    <row r="39" spans="2:10">
      <c r="B39" s="184">
        <f t="shared" si="4"/>
        <v>24</v>
      </c>
      <c r="C39" s="185">
        <f t="shared" si="5"/>
        <v>-1.3372982721193694E-9</v>
      </c>
      <c r="D39" s="185">
        <f t="shared" si="6"/>
        <v>586.99611351338513</v>
      </c>
      <c r="E39" s="185">
        <f t="shared" si="7"/>
        <v>0.2359576387971174</v>
      </c>
      <c r="F39" s="185">
        <f t="shared" si="0"/>
        <v>587.23207115218224</v>
      </c>
      <c r="G39" s="53"/>
      <c r="H39" s="53"/>
      <c r="I39" s="53"/>
      <c r="J39" s="53"/>
    </row>
    <row r="40" spans="2:10">
      <c r="B40" s="53"/>
      <c r="C40" s="53"/>
      <c r="D40" s="53"/>
      <c r="E40" s="53"/>
      <c r="F40" s="53"/>
      <c r="G40" s="53"/>
      <c r="H40" s="53"/>
      <c r="I40" s="53"/>
      <c r="J40" s="53"/>
    </row>
    <row r="41" spans="2:10">
      <c r="B41" s="53"/>
      <c r="C41" s="53"/>
      <c r="D41" s="53"/>
      <c r="E41" s="53"/>
      <c r="F41" s="53"/>
      <c r="G41" s="53"/>
      <c r="H41" s="53"/>
      <c r="I41" s="53"/>
      <c r="J41" s="53"/>
    </row>
    <row r="42" spans="2:10">
      <c r="B42" s="186" t="s">
        <v>120</v>
      </c>
      <c r="C42" s="186" t="s">
        <v>121</v>
      </c>
      <c r="D42" s="186" t="s">
        <v>192</v>
      </c>
      <c r="E42" s="186" t="s">
        <v>122</v>
      </c>
      <c r="F42" s="186" t="s">
        <v>123</v>
      </c>
      <c r="G42" s="186" t="s">
        <v>246</v>
      </c>
      <c r="H42" s="186" t="s">
        <v>247</v>
      </c>
      <c r="I42" s="53"/>
      <c r="J42" s="53"/>
    </row>
    <row r="43" spans="2:10">
      <c r="B43" s="184">
        <v>0</v>
      </c>
      <c r="C43" s="185">
        <f>C3</f>
        <v>14023</v>
      </c>
      <c r="D43" s="185">
        <v>0</v>
      </c>
      <c r="E43" s="185">
        <v>0</v>
      </c>
      <c r="F43" s="185">
        <f t="shared" ref="F43:F52" si="8">$C$10</f>
        <v>587.23207115218224</v>
      </c>
      <c r="G43" s="185">
        <v>600</v>
      </c>
      <c r="H43" s="185">
        <f t="shared" ref="H43:H49" si="9">SUM(F43:G43)</f>
        <v>1187.2320711521822</v>
      </c>
      <c r="I43" s="53"/>
      <c r="J43" s="53"/>
    </row>
    <row r="44" spans="2:10">
      <c r="B44" s="184">
        <v>1</v>
      </c>
      <c r="C44" s="185">
        <f>C43-D44</f>
        <v>12841.404821312157</v>
      </c>
      <c r="D44" s="185">
        <f>H43-(C43*$C$9)</f>
        <v>1181.5951786878436</v>
      </c>
      <c r="E44" s="185">
        <f>H44-D44</f>
        <v>5.6368924643386435</v>
      </c>
      <c r="F44" s="185">
        <f t="shared" si="8"/>
        <v>587.23207115218224</v>
      </c>
      <c r="G44" s="185">
        <v>600</v>
      </c>
      <c r="H44" s="185">
        <f t="shared" si="9"/>
        <v>1187.2320711521822</v>
      </c>
      <c r="I44" s="53"/>
      <c r="J44" s="53"/>
    </row>
    <row r="45" spans="2:10">
      <c r="B45" s="184">
        <f>B44+1</f>
        <v>2</v>
      </c>
      <c r="C45" s="185">
        <f t="shared" ref="C45:C52" si="10">C44-D45</f>
        <v>11659.33467115183</v>
      </c>
      <c r="D45" s="185">
        <f>H44-(C44*$C$9)</f>
        <v>1182.0701501603276</v>
      </c>
      <c r="E45" s="185">
        <f t="shared" ref="E45:E52" si="11">H45-D45</f>
        <v>5.1619209918546858</v>
      </c>
      <c r="F45" s="185">
        <f t="shared" si="8"/>
        <v>587.23207115218224</v>
      </c>
      <c r="G45" s="185">
        <v>600</v>
      </c>
      <c r="H45" s="185">
        <f t="shared" si="9"/>
        <v>1187.2320711521822</v>
      </c>
      <c r="I45" s="53"/>
      <c r="J45" s="53"/>
    </row>
    <row r="46" spans="2:10">
      <c r="B46" s="184">
        <f t="shared" ref="B46:B53" si="12">B45+1</f>
        <v>3</v>
      </c>
      <c r="C46" s="185">
        <f t="shared" si="10"/>
        <v>10476.789358592461</v>
      </c>
      <c r="D46" s="185">
        <f t="shared" ref="D46:D51" si="13">H45-(C45*$C$9)</f>
        <v>1182.545312559369</v>
      </c>
      <c r="E46" s="185">
        <f t="shared" si="11"/>
        <v>4.6867585928132485</v>
      </c>
      <c r="F46" s="185">
        <f t="shared" si="8"/>
        <v>587.23207115218224</v>
      </c>
      <c r="G46" s="185">
        <v>600</v>
      </c>
      <c r="H46" s="185">
        <f t="shared" si="9"/>
        <v>1187.2320711521822</v>
      </c>
      <c r="I46" s="53"/>
      <c r="J46" s="53"/>
    </row>
    <row r="47" spans="2:10">
      <c r="B47" s="184">
        <f t="shared" si="12"/>
        <v>4</v>
      </c>
      <c r="C47" s="185">
        <f t="shared" si="10"/>
        <v>9293.7686926307451</v>
      </c>
      <c r="D47" s="185">
        <f t="shared" si="13"/>
        <v>1183.0206659617156</v>
      </c>
      <c r="E47" s="185">
        <f t="shared" si="11"/>
        <v>4.2114051904666212</v>
      </c>
      <c r="F47" s="185">
        <f t="shared" si="8"/>
        <v>587.23207115218224</v>
      </c>
      <c r="G47" s="185">
        <v>600</v>
      </c>
      <c r="H47" s="185">
        <f t="shared" si="9"/>
        <v>1187.2320711521822</v>
      </c>
      <c r="I47" s="53"/>
      <c r="J47" s="53"/>
    </row>
    <row r="48" spans="2:10">
      <c r="B48" s="184">
        <f t="shared" si="12"/>
        <v>5</v>
      </c>
      <c r="C48" s="185">
        <f t="shared" si="10"/>
        <v>8110.2724821865995</v>
      </c>
      <c r="D48" s="185">
        <f>H47-(C47*$C$9)</f>
        <v>1183.4962104441456</v>
      </c>
      <c r="E48" s="185">
        <f t="shared" si="11"/>
        <v>3.7358607080366255</v>
      </c>
      <c r="F48" s="185">
        <f t="shared" si="8"/>
        <v>587.23207115218224</v>
      </c>
      <c r="G48" s="185">
        <v>600</v>
      </c>
      <c r="H48" s="185">
        <f t="shared" si="9"/>
        <v>1187.2320711521822</v>
      </c>
      <c r="I48" s="53"/>
      <c r="J48" s="53"/>
    </row>
    <row r="49" spans="2:10">
      <c r="B49" s="184">
        <f t="shared" si="12"/>
        <v>6</v>
      </c>
      <c r="C49" s="185">
        <f t="shared" si="10"/>
        <v>6926.300536103131</v>
      </c>
      <c r="D49" s="185">
        <f t="shared" si="13"/>
        <v>1183.9719460834685</v>
      </c>
      <c r="E49" s="185">
        <f t="shared" si="11"/>
        <v>3.2601250687137053</v>
      </c>
      <c r="F49" s="185">
        <f t="shared" si="8"/>
        <v>587.23207115218224</v>
      </c>
      <c r="G49" s="185">
        <v>600</v>
      </c>
      <c r="H49" s="185">
        <f t="shared" si="9"/>
        <v>1187.2320711521822</v>
      </c>
      <c r="I49" s="53"/>
      <c r="J49" s="53"/>
    </row>
    <row r="50" spans="2:10">
      <c r="B50" s="184">
        <f t="shared" si="12"/>
        <v>7</v>
      </c>
      <c r="C50" s="185">
        <f t="shared" si="10"/>
        <v>5741.8526631466066</v>
      </c>
      <c r="D50" s="185">
        <f t="shared" si="13"/>
        <v>1184.4478729565246</v>
      </c>
      <c r="E50" s="185">
        <f t="shared" si="11"/>
        <v>2.7841981956576092</v>
      </c>
      <c r="F50" s="185">
        <f t="shared" si="8"/>
        <v>587.23207115218224</v>
      </c>
      <c r="G50" s="185">
        <v>600</v>
      </c>
      <c r="H50" s="185">
        <f>SUM(F50:G50)</f>
        <v>1187.2320711521822</v>
      </c>
      <c r="I50" s="53"/>
      <c r="J50" s="53"/>
    </row>
    <row r="51" spans="2:10">
      <c r="B51" s="184">
        <f t="shared" si="12"/>
        <v>8</v>
      </c>
      <c r="C51" s="185">
        <f t="shared" si="10"/>
        <v>4556.928672006421</v>
      </c>
      <c r="D51" s="185">
        <f t="shared" si="13"/>
        <v>1184.9239911401853</v>
      </c>
      <c r="E51" s="185">
        <f t="shared" si="11"/>
        <v>2.3080800119969354</v>
      </c>
      <c r="F51" s="185">
        <f t="shared" si="8"/>
        <v>587.23207115218224</v>
      </c>
      <c r="G51" s="185">
        <v>600</v>
      </c>
      <c r="H51" s="185">
        <f t="shared" ref="H51:H52" si="14">SUM(F51:G51)</f>
        <v>1187.2320711521822</v>
      </c>
      <c r="I51" s="53"/>
      <c r="J51" s="53"/>
    </row>
    <row r="52" spans="2:10">
      <c r="B52" s="184">
        <f t="shared" si="12"/>
        <v>9</v>
      </c>
      <c r="C52" s="185">
        <f t="shared" si="10"/>
        <v>3371.5283712950691</v>
      </c>
      <c r="D52" s="185">
        <f>H51-(C51*$C$9)</f>
        <v>1185.400300711352</v>
      </c>
      <c r="E52" s="185">
        <f t="shared" si="11"/>
        <v>1.8317704408302689</v>
      </c>
      <c r="F52" s="185">
        <f t="shared" si="8"/>
        <v>587.23207115218224</v>
      </c>
      <c r="G52" s="185">
        <v>600</v>
      </c>
      <c r="H52" s="185">
        <f t="shared" si="14"/>
        <v>1187.2320711521822</v>
      </c>
      <c r="I52" s="53"/>
      <c r="J52" s="53"/>
    </row>
    <row r="53" spans="2:10">
      <c r="B53" s="184">
        <f t="shared" si="12"/>
        <v>10</v>
      </c>
      <c r="C53" s="185">
        <f t="shared" ref="C53" si="15">C52-D53</f>
        <v>0</v>
      </c>
      <c r="D53" s="185">
        <f>H53-E53</f>
        <v>3371.5283712950691</v>
      </c>
      <c r="E53" s="185">
        <f>C52*C9</f>
        <v>1.3552694052240946</v>
      </c>
      <c r="F53" s="185"/>
      <c r="G53" s="185"/>
      <c r="H53" s="185">
        <f>C52+E53</f>
        <v>3372.8836407002932</v>
      </c>
      <c r="I53" s="53"/>
      <c r="J53" s="53"/>
    </row>
    <row r="54" spans="2:10">
      <c r="B54" s="53"/>
      <c r="C54" s="53"/>
      <c r="D54" s="53"/>
      <c r="E54" s="53"/>
      <c r="F54" s="53"/>
      <c r="G54" s="53"/>
      <c r="H54" s="53"/>
      <c r="I54" s="53"/>
      <c r="J54" s="53"/>
    </row>
    <row r="55" spans="2:10">
      <c r="B55" s="53"/>
      <c r="C55" s="53"/>
      <c r="D55" s="53"/>
      <c r="E55" s="53"/>
      <c r="F55" s="53"/>
      <c r="G55" s="53"/>
      <c r="H55" s="53"/>
      <c r="I55" s="53"/>
      <c r="J55" s="53"/>
    </row>
    <row r="56" spans="2:10">
      <c r="B56" s="53"/>
      <c r="C56" s="53"/>
      <c r="D56" s="53"/>
      <c r="E56" s="53"/>
      <c r="F56" s="53"/>
      <c r="G56" s="53"/>
      <c r="H56" s="53"/>
      <c r="I56" s="53"/>
      <c r="J56" s="53"/>
    </row>
    <row r="57" spans="2:10">
      <c r="B57" s="53"/>
      <c r="C57" s="53"/>
      <c r="D57" s="53"/>
      <c r="E57" s="53"/>
      <c r="F57" s="53"/>
      <c r="G57" s="53"/>
      <c r="H57" s="53"/>
      <c r="I57" s="53"/>
      <c r="J57" s="53"/>
    </row>
    <row r="58" spans="2:10">
      <c r="B58" s="53"/>
      <c r="C58" s="53"/>
      <c r="D58" s="53"/>
      <c r="E58" s="53"/>
      <c r="F58" s="53"/>
      <c r="G58" s="53"/>
      <c r="H58" s="53"/>
      <c r="I58" s="53"/>
      <c r="J58" s="53"/>
    </row>
    <row r="59" spans="2:10">
      <c r="B59" s="53"/>
      <c r="C59" s="53"/>
      <c r="D59" s="53"/>
      <c r="E59" s="53"/>
      <c r="F59" s="53"/>
      <c r="G59" s="53"/>
      <c r="H59" s="53"/>
      <c r="I59" s="53"/>
      <c r="J59" s="53"/>
    </row>
    <row r="60" spans="2:10">
      <c r="B60" s="53"/>
      <c r="C60" s="53"/>
      <c r="D60" s="53"/>
      <c r="E60" s="53"/>
      <c r="F60" s="53"/>
      <c r="G60" s="53"/>
      <c r="H60" s="53"/>
      <c r="I60" s="53"/>
      <c r="J60" s="53"/>
    </row>
    <row r="61" spans="2:10">
      <c r="B61" s="53"/>
      <c r="C61" s="53"/>
      <c r="D61" s="53"/>
      <c r="E61" s="53"/>
      <c r="F61" s="53"/>
      <c r="G61" s="53"/>
      <c r="H61" s="53"/>
      <c r="I61" s="53"/>
      <c r="J61" s="53"/>
    </row>
    <row r="62" spans="2:10">
      <c r="B62" s="53"/>
      <c r="C62" s="53"/>
      <c r="D62" s="53"/>
      <c r="E62" s="53"/>
      <c r="F62" s="53"/>
      <c r="G62" s="53"/>
      <c r="H62" s="53"/>
      <c r="I62" s="53"/>
      <c r="J62" s="53"/>
    </row>
    <row r="63" spans="2:10">
      <c r="B63" s="53"/>
      <c r="C63" s="53"/>
      <c r="D63" s="53"/>
      <c r="E63" s="53"/>
      <c r="F63" s="53"/>
      <c r="G63" s="53"/>
      <c r="H63" s="53"/>
      <c r="I63" s="53"/>
      <c r="J63" s="53"/>
    </row>
    <row r="64" spans="2:10">
      <c r="B64" s="53"/>
      <c r="C64" s="53"/>
      <c r="D64" s="53"/>
      <c r="E64" s="53"/>
      <c r="F64" s="53"/>
      <c r="G64" s="53"/>
      <c r="H64" s="53"/>
      <c r="I64" s="53"/>
      <c r="J64" s="53"/>
    </row>
    <row r="65" spans="2:10">
      <c r="B65" s="53"/>
      <c r="C65" s="53"/>
      <c r="D65" s="53"/>
      <c r="E65" s="53"/>
      <c r="F65" s="53"/>
      <c r="G65" s="53"/>
      <c r="H65" s="53"/>
      <c r="I65" s="53"/>
      <c r="J65" s="53"/>
    </row>
  </sheetData>
  <mergeCells count="6">
    <mergeCell ref="B2:C2"/>
    <mergeCell ref="H14:H17"/>
    <mergeCell ref="I14:I15"/>
    <mergeCell ref="I16:I17"/>
    <mergeCell ref="G24:G25"/>
    <mergeCell ref="H24:H2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"/>
  <sheetViews>
    <sheetView showGridLines="0" topLeftCell="A56" zoomScale="120" zoomScaleNormal="120" workbookViewId="0">
      <selection activeCell="J79" sqref="J79"/>
    </sheetView>
  </sheetViews>
  <sheetFormatPr baseColWidth="10" defaultRowHeight="12.75"/>
  <cols>
    <col min="1" max="1" width="28.42578125" style="9" customWidth="1"/>
    <col min="2" max="2" width="10.5703125" style="10" customWidth="1"/>
    <col min="3" max="3" width="11.85546875" style="10" customWidth="1"/>
    <col min="4" max="4" width="11.7109375" style="10" customWidth="1"/>
    <col min="5" max="5" width="11.85546875" style="10" customWidth="1"/>
    <col min="6" max="7" width="12" style="10" customWidth="1"/>
    <col min="8" max="10" width="11.85546875" style="10" customWidth="1"/>
    <col min="11" max="12" width="12" style="10" customWidth="1"/>
    <col min="13" max="15" width="11.85546875" style="10" customWidth="1"/>
    <col min="16" max="16" width="12" style="10" customWidth="1"/>
    <col min="17" max="18" width="11.85546875" style="10" customWidth="1"/>
    <col min="19" max="19" width="11.7109375" style="10" customWidth="1"/>
    <col min="20" max="20" width="11" style="10" customWidth="1"/>
    <col min="21" max="21" width="10.85546875" style="10" customWidth="1"/>
    <col min="22" max="22" width="10.7109375" style="10" customWidth="1"/>
    <col min="23" max="23" width="10.140625" style="10" customWidth="1"/>
    <col min="24" max="24" width="10" style="10" customWidth="1"/>
    <col min="25" max="25" width="11.42578125" style="10" customWidth="1"/>
    <col min="26" max="26" width="10.5703125" style="10" customWidth="1"/>
    <col min="27" max="27" width="11.42578125" style="9" customWidth="1"/>
    <col min="28" max="16384" width="11.42578125" style="9"/>
  </cols>
  <sheetData>
    <row r="1" spans="1:27">
      <c r="A1" s="187" t="s">
        <v>347</v>
      </c>
      <c r="B1" s="188"/>
      <c r="C1" s="188"/>
      <c r="D1" s="189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53"/>
    </row>
    <row r="2" spans="1:27" ht="13.5" thickBot="1">
      <c r="A2" s="53"/>
      <c r="B2" s="188"/>
      <c r="C2" s="188"/>
      <c r="D2" s="188"/>
      <c r="E2" s="442"/>
      <c r="F2" s="188"/>
      <c r="G2" s="188"/>
      <c r="H2" s="188"/>
      <c r="I2" s="188"/>
      <c r="J2" s="188"/>
      <c r="K2" s="442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53"/>
    </row>
    <row r="3" spans="1:27" s="12" customFormat="1" ht="13.5" thickBot="1">
      <c r="A3" s="190" t="s">
        <v>335</v>
      </c>
      <c r="B3" s="191" t="s">
        <v>55</v>
      </c>
      <c r="C3" s="191" t="s">
        <v>56</v>
      </c>
      <c r="D3" s="191" t="s">
        <v>57</v>
      </c>
      <c r="E3" s="192" t="s">
        <v>58</v>
      </c>
      <c r="F3" s="192" t="s">
        <v>59</v>
      </c>
      <c r="G3" s="192" t="s">
        <v>60</v>
      </c>
      <c r="H3" s="193" t="s">
        <v>61</v>
      </c>
      <c r="I3" s="193" t="s">
        <v>62</v>
      </c>
      <c r="J3" s="193" t="s">
        <v>63</v>
      </c>
      <c r="K3" s="194" t="s">
        <v>64</v>
      </c>
      <c r="L3" s="194" t="s">
        <v>65</v>
      </c>
      <c r="M3" s="194" t="s">
        <v>66</v>
      </c>
      <c r="N3" s="191" t="s">
        <v>69</v>
      </c>
      <c r="O3" s="191" t="s">
        <v>70</v>
      </c>
      <c r="P3" s="191" t="s">
        <v>71</v>
      </c>
      <c r="Q3" s="192" t="s">
        <v>72</v>
      </c>
      <c r="R3" s="192" t="s">
        <v>73</v>
      </c>
      <c r="S3" s="192" t="s">
        <v>74</v>
      </c>
      <c r="T3" s="193" t="s">
        <v>75</v>
      </c>
      <c r="U3" s="193" t="s">
        <v>76</v>
      </c>
      <c r="V3" s="193" t="s">
        <v>77</v>
      </c>
      <c r="W3" s="194" t="s">
        <v>78</v>
      </c>
      <c r="X3" s="194" t="s">
        <v>79</v>
      </c>
      <c r="Y3" s="194" t="s">
        <v>80</v>
      </c>
      <c r="Z3" s="195" t="s">
        <v>46</v>
      </c>
      <c r="AA3" s="196"/>
    </row>
    <row r="4" spans="1:27" s="12" customFormat="1">
      <c r="A4" s="197" t="str">
        <f>'INVERSION TOTAL'!A42</f>
        <v>PIZZA GRANDE</v>
      </c>
      <c r="B4" s="198">
        <v>127</v>
      </c>
      <c r="C4" s="198">
        <v>127</v>
      </c>
      <c r="D4" s="198">
        <v>127</v>
      </c>
      <c r="E4" s="201">
        <v>127</v>
      </c>
      <c r="F4" s="198">
        <v>127</v>
      </c>
      <c r="G4" s="198">
        <v>127</v>
      </c>
      <c r="H4" s="198">
        <v>127</v>
      </c>
      <c r="I4" s="198">
        <v>127</v>
      </c>
      <c r="J4" s="198">
        <v>127</v>
      </c>
      <c r="K4" s="198">
        <v>127</v>
      </c>
      <c r="L4" s="198">
        <v>127</v>
      </c>
      <c r="M4" s="198">
        <v>127</v>
      </c>
      <c r="N4" s="198">
        <v>127</v>
      </c>
      <c r="O4" s="198">
        <v>127</v>
      </c>
      <c r="P4" s="198">
        <v>127</v>
      </c>
      <c r="Q4" s="198">
        <v>127</v>
      </c>
      <c r="R4" s="198">
        <v>127</v>
      </c>
      <c r="S4" s="198">
        <v>127</v>
      </c>
      <c r="T4" s="198">
        <v>127</v>
      </c>
      <c r="U4" s="198">
        <v>127</v>
      </c>
      <c r="V4" s="198">
        <v>127</v>
      </c>
      <c r="W4" s="198">
        <v>127</v>
      </c>
      <c r="X4" s="198">
        <v>127</v>
      </c>
      <c r="Y4" s="198">
        <v>127</v>
      </c>
      <c r="Z4" s="199">
        <f>SUM(B4:Y4)</f>
        <v>3048</v>
      </c>
      <c r="AA4" s="196"/>
    </row>
    <row r="5" spans="1:27" s="12" customFormat="1">
      <c r="A5" s="200" t="str">
        <f>'INVERSION TOTAL'!A50</f>
        <v>PIZZA MEDIANA</v>
      </c>
      <c r="B5" s="201">
        <v>272</v>
      </c>
      <c r="C5" s="201">
        <v>272</v>
      </c>
      <c r="D5" s="201">
        <v>272</v>
      </c>
      <c r="E5" s="201">
        <v>272</v>
      </c>
      <c r="F5" s="201">
        <v>272</v>
      </c>
      <c r="G5" s="201">
        <v>272</v>
      </c>
      <c r="H5" s="201">
        <v>272</v>
      </c>
      <c r="I5" s="201">
        <v>272</v>
      </c>
      <c r="J5" s="201">
        <v>272</v>
      </c>
      <c r="K5" s="201">
        <v>272</v>
      </c>
      <c r="L5" s="201">
        <v>272</v>
      </c>
      <c r="M5" s="201">
        <v>272</v>
      </c>
      <c r="N5" s="201">
        <v>272</v>
      </c>
      <c r="O5" s="201">
        <v>272</v>
      </c>
      <c r="P5" s="201">
        <v>272</v>
      </c>
      <c r="Q5" s="201">
        <v>272</v>
      </c>
      <c r="R5" s="201">
        <v>272</v>
      </c>
      <c r="S5" s="201">
        <v>272</v>
      </c>
      <c r="T5" s="201">
        <v>272</v>
      </c>
      <c r="U5" s="201">
        <v>272</v>
      </c>
      <c r="V5" s="201">
        <v>272</v>
      </c>
      <c r="W5" s="201">
        <v>272</v>
      </c>
      <c r="X5" s="201">
        <v>272</v>
      </c>
      <c r="Y5" s="201">
        <v>272</v>
      </c>
      <c r="Z5" s="199">
        <f>SUM(B5:Y5)</f>
        <v>6528</v>
      </c>
      <c r="AA5" s="196"/>
    </row>
    <row r="6" spans="1:27" s="12" customFormat="1">
      <c r="A6" s="200" t="str">
        <f>'INVERSION TOTAL'!A57</f>
        <v>PIZZA PEQUEÑA</v>
      </c>
      <c r="B6" s="202">
        <v>175</v>
      </c>
      <c r="C6" s="202">
        <v>175</v>
      </c>
      <c r="D6" s="202">
        <v>175</v>
      </c>
      <c r="E6" s="201">
        <v>175</v>
      </c>
      <c r="F6" s="201">
        <v>175</v>
      </c>
      <c r="G6" s="201">
        <v>175</v>
      </c>
      <c r="H6" s="201">
        <v>175</v>
      </c>
      <c r="I6" s="201">
        <v>175</v>
      </c>
      <c r="J6" s="201">
        <v>175</v>
      </c>
      <c r="K6" s="201">
        <v>175</v>
      </c>
      <c r="L6" s="201">
        <v>175</v>
      </c>
      <c r="M6" s="201">
        <v>175</v>
      </c>
      <c r="N6" s="201">
        <v>175</v>
      </c>
      <c r="O6" s="201">
        <v>175</v>
      </c>
      <c r="P6" s="201">
        <v>175</v>
      </c>
      <c r="Q6" s="201">
        <v>175</v>
      </c>
      <c r="R6" s="201">
        <v>175</v>
      </c>
      <c r="S6" s="201">
        <v>175</v>
      </c>
      <c r="T6" s="201">
        <v>175</v>
      </c>
      <c r="U6" s="201">
        <v>175</v>
      </c>
      <c r="V6" s="201">
        <v>175</v>
      </c>
      <c r="W6" s="201">
        <v>175</v>
      </c>
      <c r="X6" s="201">
        <v>175</v>
      </c>
      <c r="Y6" s="201">
        <v>175</v>
      </c>
      <c r="Z6" s="199">
        <f>SUM(B6:Y6)</f>
        <v>4200</v>
      </c>
      <c r="AA6" s="203"/>
    </row>
    <row r="7" spans="1:27" s="12" customFormat="1" ht="12.75" customHeight="1">
      <c r="A7" s="200" t="str">
        <f>'INVERSION TOTAL'!A66</f>
        <v>PIZZA GRANDE BORDE QUESO</v>
      </c>
      <c r="B7" s="202">
        <v>127</v>
      </c>
      <c r="C7" s="202">
        <v>127</v>
      </c>
      <c r="D7" s="202">
        <v>127</v>
      </c>
      <c r="E7" s="201">
        <v>127</v>
      </c>
      <c r="F7" s="201">
        <v>127</v>
      </c>
      <c r="G7" s="201">
        <v>127</v>
      </c>
      <c r="H7" s="201">
        <v>127</v>
      </c>
      <c r="I7" s="201">
        <v>127</v>
      </c>
      <c r="J7" s="201">
        <v>127</v>
      </c>
      <c r="K7" s="201">
        <v>127</v>
      </c>
      <c r="L7" s="201">
        <v>127</v>
      </c>
      <c r="M7" s="201">
        <v>127</v>
      </c>
      <c r="N7" s="201">
        <v>127</v>
      </c>
      <c r="O7" s="201">
        <v>127</v>
      </c>
      <c r="P7" s="201">
        <v>127</v>
      </c>
      <c r="Q7" s="201">
        <v>127</v>
      </c>
      <c r="R7" s="201">
        <v>127</v>
      </c>
      <c r="S7" s="201">
        <v>127</v>
      </c>
      <c r="T7" s="201">
        <v>127</v>
      </c>
      <c r="U7" s="201">
        <v>127</v>
      </c>
      <c r="V7" s="201">
        <v>127</v>
      </c>
      <c r="W7" s="201">
        <v>127</v>
      </c>
      <c r="X7" s="201">
        <v>127</v>
      </c>
      <c r="Y7" s="201">
        <v>127</v>
      </c>
      <c r="Z7" s="199">
        <f>SUM(B7:Y7)</f>
        <v>3048</v>
      </c>
      <c r="AA7" s="203"/>
    </row>
    <row r="8" spans="1:27" s="12" customFormat="1" ht="12.75" customHeight="1">
      <c r="A8" s="200" t="str">
        <f>'INVERSION TOTAL'!A73</f>
        <v>PIZZA MEDIANA BORDE QUESO</v>
      </c>
      <c r="B8" s="202">
        <v>273</v>
      </c>
      <c r="C8" s="202">
        <v>273</v>
      </c>
      <c r="D8" s="202">
        <v>273</v>
      </c>
      <c r="E8" s="201">
        <v>273</v>
      </c>
      <c r="F8" s="201">
        <v>273</v>
      </c>
      <c r="G8" s="201">
        <v>273</v>
      </c>
      <c r="H8" s="201">
        <v>273</v>
      </c>
      <c r="I8" s="201">
        <v>273</v>
      </c>
      <c r="J8" s="201">
        <v>273</v>
      </c>
      <c r="K8" s="201">
        <v>273</v>
      </c>
      <c r="L8" s="201">
        <v>273</v>
      </c>
      <c r="M8" s="201">
        <v>273</v>
      </c>
      <c r="N8" s="201">
        <v>273</v>
      </c>
      <c r="O8" s="201">
        <v>273</v>
      </c>
      <c r="P8" s="201">
        <v>273</v>
      </c>
      <c r="Q8" s="201">
        <v>273</v>
      </c>
      <c r="R8" s="201">
        <v>273</v>
      </c>
      <c r="S8" s="201">
        <v>273</v>
      </c>
      <c r="T8" s="201">
        <v>273</v>
      </c>
      <c r="U8" s="201">
        <v>273</v>
      </c>
      <c r="V8" s="201">
        <v>273</v>
      </c>
      <c r="W8" s="201">
        <v>273</v>
      </c>
      <c r="X8" s="201">
        <v>273</v>
      </c>
      <c r="Y8" s="201">
        <v>273</v>
      </c>
      <c r="Z8" s="199">
        <f>SUM(B8:Y8)</f>
        <v>6552</v>
      </c>
      <c r="AA8" s="203"/>
    </row>
    <row r="9" spans="1:27">
      <c r="A9" s="53"/>
      <c r="B9" s="465">
        <f>SUM(B4:B8)</f>
        <v>974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53"/>
    </row>
    <row r="10" spans="1:27">
      <c r="A10" s="187" t="s">
        <v>68</v>
      </c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53"/>
    </row>
    <row r="11" spans="1:27" ht="13.5" thickBot="1">
      <c r="A11" s="53"/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53"/>
    </row>
    <row r="12" spans="1:27" ht="13.5" thickBot="1">
      <c r="A12" s="190" t="s">
        <v>335</v>
      </c>
      <c r="B12" s="204" t="s">
        <v>67</v>
      </c>
      <c r="C12" s="191" t="s">
        <v>55</v>
      </c>
      <c r="D12" s="191" t="s">
        <v>56</v>
      </c>
      <c r="E12" s="191" t="s">
        <v>57</v>
      </c>
      <c r="F12" s="192" t="s">
        <v>58</v>
      </c>
      <c r="G12" s="192" t="s">
        <v>59</v>
      </c>
      <c r="H12" s="192" t="s">
        <v>60</v>
      </c>
      <c r="I12" s="193" t="s">
        <v>61</v>
      </c>
      <c r="J12" s="193" t="s">
        <v>62</v>
      </c>
      <c r="K12" s="193" t="s">
        <v>63</v>
      </c>
      <c r="L12" s="194" t="s">
        <v>64</v>
      </c>
      <c r="M12" s="194" t="s">
        <v>65</v>
      </c>
      <c r="N12" s="194" t="s">
        <v>66</v>
      </c>
      <c r="O12" s="191" t="s">
        <v>69</v>
      </c>
      <c r="P12" s="191" t="s">
        <v>70</v>
      </c>
      <c r="Q12" s="191" t="s">
        <v>71</v>
      </c>
      <c r="R12" s="192" t="s">
        <v>72</v>
      </c>
      <c r="S12" s="192" t="s">
        <v>73</v>
      </c>
      <c r="T12" s="192" t="s">
        <v>74</v>
      </c>
      <c r="U12" s="193" t="s">
        <v>75</v>
      </c>
      <c r="V12" s="193" t="s">
        <v>76</v>
      </c>
      <c r="W12" s="193" t="s">
        <v>77</v>
      </c>
      <c r="X12" s="194" t="s">
        <v>78</v>
      </c>
      <c r="Y12" s="194" t="s">
        <v>79</v>
      </c>
      <c r="Z12" s="194" t="s">
        <v>80</v>
      </c>
      <c r="AA12" s="195" t="s">
        <v>46</v>
      </c>
    </row>
    <row r="13" spans="1:27">
      <c r="A13" s="197" t="str">
        <f>A4</f>
        <v>PIZZA GRANDE</v>
      </c>
      <c r="B13" s="205">
        <v>50</v>
      </c>
      <c r="C13" s="206">
        <f>B4*B13</f>
        <v>6350</v>
      </c>
      <c r="D13" s="206">
        <f>C4*B13</f>
        <v>6350</v>
      </c>
      <c r="E13" s="207">
        <f>D4*B13</f>
        <v>6350</v>
      </c>
      <c r="F13" s="207">
        <f>E4*B13</f>
        <v>6350</v>
      </c>
      <c r="G13" s="207">
        <f>F4*B13</f>
        <v>6350</v>
      </c>
      <c r="H13" s="207">
        <f>G4*B13</f>
        <v>6350</v>
      </c>
      <c r="I13" s="207">
        <f>H4*B13</f>
        <v>6350</v>
      </c>
      <c r="J13" s="207">
        <f>I4*B13</f>
        <v>6350</v>
      </c>
      <c r="K13" s="207">
        <f>J4*B13</f>
        <v>6350</v>
      </c>
      <c r="L13" s="207">
        <f>K4*B13</f>
        <v>6350</v>
      </c>
      <c r="M13" s="206">
        <f>L4*B13</f>
        <v>6350</v>
      </c>
      <c r="N13" s="206">
        <f>M4*B13</f>
        <v>6350</v>
      </c>
      <c r="O13" s="206">
        <f>N4*B13</f>
        <v>6350</v>
      </c>
      <c r="P13" s="206">
        <f>O4*B13</f>
        <v>6350</v>
      </c>
      <c r="Q13" s="206">
        <f>P4*B13</f>
        <v>6350</v>
      </c>
      <c r="R13" s="206">
        <f>Q4*B13</f>
        <v>6350</v>
      </c>
      <c r="S13" s="207">
        <f>R4*B13</f>
        <v>6350</v>
      </c>
      <c r="T13" s="207">
        <f>S4*B13</f>
        <v>6350</v>
      </c>
      <c r="U13" s="207">
        <f>T4*B13</f>
        <v>6350</v>
      </c>
      <c r="V13" s="207">
        <f>U4*B13</f>
        <v>6350</v>
      </c>
      <c r="W13" s="207">
        <f>V4*B13</f>
        <v>6350</v>
      </c>
      <c r="X13" s="207">
        <f>W4*B13</f>
        <v>6350</v>
      </c>
      <c r="Y13" s="207">
        <f>X4*B13</f>
        <v>6350</v>
      </c>
      <c r="Z13" s="207">
        <f>Y4*B13</f>
        <v>6350</v>
      </c>
      <c r="AA13" s="208">
        <f>SUM(C13:Z13)</f>
        <v>152400</v>
      </c>
    </row>
    <row r="14" spans="1:27">
      <c r="A14" s="200" t="str">
        <f>A5</f>
        <v>PIZZA MEDIANA</v>
      </c>
      <c r="B14" s="209">
        <v>35</v>
      </c>
      <c r="C14" s="206">
        <f>B5*B14</f>
        <v>9520</v>
      </c>
      <c r="D14" s="206">
        <f>C5*B14</f>
        <v>9520</v>
      </c>
      <c r="E14" s="207">
        <f>D5*B14</f>
        <v>9520</v>
      </c>
      <c r="F14" s="207">
        <f>E5*B14</f>
        <v>9520</v>
      </c>
      <c r="G14" s="207">
        <f>F5*B14</f>
        <v>9520</v>
      </c>
      <c r="H14" s="207">
        <f>G5*B14</f>
        <v>9520</v>
      </c>
      <c r="I14" s="207">
        <f>H5*B14</f>
        <v>9520</v>
      </c>
      <c r="J14" s="207">
        <f>I5*B14</f>
        <v>9520</v>
      </c>
      <c r="K14" s="207">
        <f>J5*B14</f>
        <v>9520</v>
      </c>
      <c r="L14" s="207">
        <f>K5*B14</f>
        <v>9520</v>
      </c>
      <c r="M14" s="206">
        <f>L5*B14</f>
        <v>9520</v>
      </c>
      <c r="N14" s="206">
        <f>M5*B14</f>
        <v>9520</v>
      </c>
      <c r="O14" s="206">
        <f>N5*B14</f>
        <v>9520</v>
      </c>
      <c r="P14" s="206">
        <f>O5*B14</f>
        <v>9520</v>
      </c>
      <c r="Q14" s="206">
        <f>P5*B14</f>
        <v>9520</v>
      </c>
      <c r="R14" s="206">
        <f>Q5*B14</f>
        <v>9520</v>
      </c>
      <c r="S14" s="207">
        <f>R5*B14</f>
        <v>9520</v>
      </c>
      <c r="T14" s="207">
        <f>S5*B14</f>
        <v>9520</v>
      </c>
      <c r="U14" s="207">
        <f>T5*B14</f>
        <v>9520</v>
      </c>
      <c r="V14" s="207">
        <f>U5*B14</f>
        <v>9520</v>
      </c>
      <c r="W14" s="207">
        <f>V5*B14</f>
        <v>9520</v>
      </c>
      <c r="X14" s="207">
        <f>W5*B14</f>
        <v>9520</v>
      </c>
      <c r="Y14" s="207">
        <f>X5*B14</f>
        <v>9520</v>
      </c>
      <c r="Z14" s="207">
        <f>Y5*B14</f>
        <v>9520</v>
      </c>
      <c r="AA14" s="208">
        <f>SUM(C14:Z14)</f>
        <v>228480</v>
      </c>
    </row>
    <row r="15" spans="1:27">
      <c r="A15" s="200" t="str">
        <f>A6</f>
        <v>PIZZA PEQUEÑA</v>
      </c>
      <c r="B15" s="210">
        <v>20</v>
      </c>
      <c r="C15" s="211">
        <f>B6*B15</f>
        <v>3500</v>
      </c>
      <c r="D15" s="211">
        <f>C6*B15</f>
        <v>3500</v>
      </c>
      <c r="E15" s="212">
        <f>D6*B15</f>
        <v>3500</v>
      </c>
      <c r="F15" s="212">
        <f>E6*B15</f>
        <v>3500</v>
      </c>
      <c r="G15" s="212">
        <f>F6*B15</f>
        <v>3500</v>
      </c>
      <c r="H15" s="212">
        <f>G6*B15</f>
        <v>3500</v>
      </c>
      <c r="I15" s="212">
        <f>H6*B15</f>
        <v>3500</v>
      </c>
      <c r="J15" s="212">
        <f>I6*B15</f>
        <v>3500</v>
      </c>
      <c r="K15" s="212">
        <f>J6*B15</f>
        <v>3500</v>
      </c>
      <c r="L15" s="212">
        <f>K6*B15</f>
        <v>3500</v>
      </c>
      <c r="M15" s="211">
        <f>L6*B15</f>
        <v>3500</v>
      </c>
      <c r="N15" s="206">
        <f>M6*B15</f>
        <v>3500</v>
      </c>
      <c r="O15" s="206">
        <f>N6*B15</f>
        <v>3500</v>
      </c>
      <c r="P15" s="206">
        <f>O6*B15</f>
        <v>3500</v>
      </c>
      <c r="Q15" s="206">
        <f>P6*B15</f>
        <v>3500</v>
      </c>
      <c r="R15" s="206">
        <f>Q6*B15</f>
        <v>3500</v>
      </c>
      <c r="S15" s="207">
        <f>R6*B15</f>
        <v>3500</v>
      </c>
      <c r="T15" s="207">
        <f>S6*B15</f>
        <v>3500</v>
      </c>
      <c r="U15" s="207">
        <f>T6*B15</f>
        <v>3500</v>
      </c>
      <c r="V15" s="207">
        <f>U6*B15</f>
        <v>3500</v>
      </c>
      <c r="W15" s="207">
        <f>V6*B15</f>
        <v>3500</v>
      </c>
      <c r="X15" s="207">
        <f>W6*B15</f>
        <v>3500</v>
      </c>
      <c r="Y15" s="207">
        <f>X6*B15</f>
        <v>3500</v>
      </c>
      <c r="Z15" s="207">
        <f>Y6*B15</f>
        <v>3500</v>
      </c>
      <c r="AA15" s="213">
        <f>SUM(C15:Z15)</f>
        <v>84000</v>
      </c>
    </row>
    <row r="16" spans="1:27" ht="12.75" customHeight="1">
      <c r="A16" s="200" t="str">
        <f>A7</f>
        <v>PIZZA GRANDE BORDE QUESO</v>
      </c>
      <c r="B16" s="214">
        <v>55</v>
      </c>
      <c r="C16" s="215">
        <f>B7*B16</f>
        <v>6985</v>
      </c>
      <c r="D16" s="215">
        <f>C7*B16</f>
        <v>6985</v>
      </c>
      <c r="E16" s="216">
        <f>D7*B16</f>
        <v>6985</v>
      </c>
      <c r="F16" s="216">
        <f>E7*B16</f>
        <v>6985</v>
      </c>
      <c r="G16" s="216">
        <f>F7*B16</f>
        <v>6985</v>
      </c>
      <c r="H16" s="216">
        <f>G7*B16</f>
        <v>6985</v>
      </c>
      <c r="I16" s="216">
        <f>H7*B16</f>
        <v>6985</v>
      </c>
      <c r="J16" s="216">
        <f>I7*B16</f>
        <v>6985</v>
      </c>
      <c r="K16" s="216">
        <f>J7*B16</f>
        <v>6985</v>
      </c>
      <c r="L16" s="216">
        <f>K7*B16</f>
        <v>6985</v>
      </c>
      <c r="M16" s="215">
        <f>L7*B16</f>
        <v>6985</v>
      </c>
      <c r="N16" s="206">
        <f>M7*B16</f>
        <v>6985</v>
      </c>
      <c r="O16" s="206">
        <f>N7*B16</f>
        <v>6985</v>
      </c>
      <c r="P16" s="206">
        <f>O7*B16</f>
        <v>6985</v>
      </c>
      <c r="Q16" s="206">
        <f>P7*B16</f>
        <v>6985</v>
      </c>
      <c r="R16" s="206">
        <f>Q7*B16</f>
        <v>6985</v>
      </c>
      <c r="S16" s="207">
        <f>R7*B16</f>
        <v>6985</v>
      </c>
      <c r="T16" s="207">
        <f>S7*B16</f>
        <v>6985</v>
      </c>
      <c r="U16" s="207">
        <f>T7*B16</f>
        <v>6985</v>
      </c>
      <c r="V16" s="207">
        <f>U7*B16</f>
        <v>6985</v>
      </c>
      <c r="W16" s="207">
        <f>V7*B16</f>
        <v>6985</v>
      </c>
      <c r="X16" s="207">
        <f>W7*B16</f>
        <v>6985</v>
      </c>
      <c r="Y16" s="207">
        <f>X7*B16</f>
        <v>6985</v>
      </c>
      <c r="Z16" s="207">
        <f>Y7*B16</f>
        <v>6985</v>
      </c>
      <c r="AA16" s="215">
        <f>SUM(C16:Z16)</f>
        <v>167640</v>
      </c>
    </row>
    <row r="17" spans="1:27" ht="12.75" customHeight="1">
      <c r="A17" s="200" t="str">
        <f>A8</f>
        <v>PIZZA MEDIANA BORDE QUESO</v>
      </c>
      <c r="B17" s="214">
        <v>38</v>
      </c>
      <c r="C17" s="215">
        <f>B8*B17</f>
        <v>10374</v>
      </c>
      <c r="D17" s="215">
        <f>C8*B17</f>
        <v>10374</v>
      </c>
      <c r="E17" s="216">
        <f>D8*B17</f>
        <v>10374</v>
      </c>
      <c r="F17" s="216">
        <f>E8*B17</f>
        <v>10374</v>
      </c>
      <c r="G17" s="216">
        <f>F8*B17</f>
        <v>10374</v>
      </c>
      <c r="H17" s="216">
        <f>G8*B17</f>
        <v>10374</v>
      </c>
      <c r="I17" s="216">
        <f>H8*B17</f>
        <v>10374</v>
      </c>
      <c r="J17" s="216">
        <f>I8*B17</f>
        <v>10374</v>
      </c>
      <c r="K17" s="216">
        <f>J8*B17</f>
        <v>10374</v>
      </c>
      <c r="L17" s="216">
        <f>K8*B17</f>
        <v>10374</v>
      </c>
      <c r="M17" s="215">
        <f>L8*B17</f>
        <v>10374</v>
      </c>
      <c r="N17" s="206">
        <f>M8*B17</f>
        <v>10374</v>
      </c>
      <c r="O17" s="206">
        <f>N8*B17</f>
        <v>10374</v>
      </c>
      <c r="P17" s="206">
        <f>O8*B17</f>
        <v>10374</v>
      </c>
      <c r="Q17" s="206">
        <f>P8*B17</f>
        <v>10374</v>
      </c>
      <c r="R17" s="206">
        <f>Q8*B17</f>
        <v>10374</v>
      </c>
      <c r="S17" s="207">
        <f>R8*B17</f>
        <v>10374</v>
      </c>
      <c r="T17" s="207">
        <f>S8*B17</f>
        <v>10374</v>
      </c>
      <c r="U17" s="207">
        <f>T8*B17</f>
        <v>10374</v>
      </c>
      <c r="V17" s="207">
        <f>U8*B17</f>
        <v>10374</v>
      </c>
      <c r="W17" s="207">
        <f>V8*B17</f>
        <v>10374</v>
      </c>
      <c r="X17" s="207">
        <f>W8*B17</f>
        <v>10374</v>
      </c>
      <c r="Y17" s="207">
        <f>X8*B17</f>
        <v>10374</v>
      </c>
      <c r="Z17" s="207">
        <f>Y8*B17</f>
        <v>10374</v>
      </c>
      <c r="AA17" s="215">
        <f>SUM(C17:Z17)</f>
        <v>248976</v>
      </c>
    </row>
    <row r="18" spans="1:27">
      <c r="A18" s="217" t="s">
        <v>81</v>
      </c>
      <c r="B18" s="218"/>
      <c r="C18" s="218">
        <f t="shared" ref="C18:S18" si="0">SUM(C13:C17)</f>
        <v>36729</v>
      </c>
      <c r="D18" s="218">
        <f t="shared" si="0"/>
        <v>36729</v>
      </c>
      <c r="E18" s="218">
        <f t="shared" si="0"/>
        <v>36729</v>
      </c>
      <c r="F18" s="218">
        <f t="shared" si="0"/>
        <v>36729</v>
      </c>
      <c r="G18" s="218">
        <f t="shared" si="0"/>
        <v>36729</v>
      </c>
      <c r="H18" s="218">
        <f t="shared" si="0"/>
        <v>36729</v>
      </c>
      <c r="I18" s="218">
        <f t="shared" si="0"/>
        <v>36729</v>
      </c>
      <c r="J18" s="218">
        <f t="shared" si="0"/>
        <v>36729</v>
      </c>
      <c r="K18" s="218">
        <f t="shared" si="0"/>
        <v>36729</v>
      </c>
      <c r="L18" s="219">
        <f t="shared" si="0"/>
        <v>36729</v>
      </c>
      <c r="M18" s="218">
        <f t="shared" si="0"/>
        <v>36729</v>
      </c>
      <c r="N18" s="218">
        <f t="shared" si="0"/>
        <v>36729</v>
      </c>
      <c r="O18" s="218">
        <f t="shared" si="0"/>
        <v>36729</v>
      </c>
      <c r="P18" s="218">
        <f t="shared" si="0"/>
        <v>36729</v>
      </c>
      <c r="Q18" s="218">
        <f t="shared" si="0"/>
        <v>36729</v>
      </c>
      <c r="R18" s="218">
        <f t="shared" si="0"/>
        <v>36729</v>
      </c>
      <c r="S18" s="219">
        <f t="shared" si="0"/>
        <v>36729</v>
      </c>
      <c r="T18" s="219">
        <f t="shared" ref="T18:AA18" si="1">SUM(T13:T17)</f>
        <v>36729</v>
      </c>
      <c r="U18" s="219">
        <f t="shared" si="1"/>
        <v>36729</v>
      </c>
      <c r="V18" s="219">
        <f t="shared" si="1"/>
        <v>36729</v>
      </c>
      <c r="W18" s="219">
        <f t="shared" si="1"/>
        <v>36729</v>
      </c>
      <c r="X18" s="219">
        <f t="shared" si="1"/>
        <v>36729</v>
      </c>
      <c r="Y18" s="219">
        <f t="shared" si="1"/>
        <v>36729</v>
      </c>
      <c r="Z18" s="219">
        <f t="shared" si="1"/>
        <v>36729</v>
      </c>
      <c r="AA18" s="218">
        <f t="shared" si="1"/>
        <v>881496</v>
      </c>
    </row>
    <row r="19" spans="1:27">
      <c r="A19" s="53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53"/>
    </row>
    <row r="20" spans="1:27">
      <c r="C20" s="188"/>
      <c r="I20" s="188"/>
    </row>
    <row r="21" spans="1:27" ht="13.5" thickBot="1">
      <c r="A21" s="9" t="s">
        <v>476</v>
      </c>
      <c r="B21" s="10" t="s">
        <v>462</v>
      </c>
      <c r="C21" s="188"/>
      <c r="G21" s="449" t="s">
        <v>463</v>
      </c>
      <c r="I21" s="188"/>
    </row>
    <row r="22" spans="1:27" ht="13.5" thickBot="1">
      <c r="A22" s="443" t="s">
        <v>335</v>
      </c>
      <c r="B22" s="446" t="s">
        <v>43</v>
      </c>
      <c r="C22" s="222" t="s">
        <v>472</v>
      </c>
      <c r="D22" s="447" t="s">
        <v>473</v>
      </c>
      <c r="G22" s="443"/>
      <c r="H22" s="446" t="s">
        <v>43</v>
      </c>
      <c r="I22" s="222" t="s">
        <v>469</v>
      </c>
      <c r="J22" s="446" t="s">
        <v>470</v>
      </c>
    </row>
    <row r="23" spans="1:27">
      <c r="A23" s="444" t="s">
        <v>460</v>
      </c>
      <c r="B23" s="452">
        <v>0.08</v>
      </c>
      <c r="C23" s="454">
        <f>$J$27*B23</f>
        <v>77.92</v>
      </c>
      <c r="D23" s="448"/>
      <c r="G23" s="444" t="s">
        <v>465</v>
      </c>
      <c r="H23" s="448">
        <v>55</v>
      </c>
      <c r="I23" s="448">
        <v>110</v>
      </c>
      <c r="J23" s="448">
        <f>I23*K23</f>
        <v>440</v>
      </c>
      <c r="K23" s="10">
        <v>4</v>
      </c>
    </row>
    <row r="24" spans="1:27">
      <c r="A24" s="445" t="s">
        <v>461</v>
      </c>
      <c r="B24" s="452">
        <v>0.18</v>
      </c>
      <c r="C24" s="454">
        <f t="shared" ref="C24:C26" si="2">$J$27*B24</f>
        <v>175.32</v>
      </c>
      <c r="D24" s="454">
        <f>C24</f>
        <v>175.32</v>
      </c>
      <c r="G24" s="445" t="s">
        <v>466</v>
      </c>
      <c r="H24" s="448">
        <v>27</v>
      </c>
      <c r="I24" s="448">
        <v>54</v>
      </c>
      <c r="J24" s="448">
        <f t="shared" ref="J24:J26" si="3">I24*K24</f>
        <v>432</v>
      </c>
      <c r="K24" s="10">
        <v>8</v>
      </c>
    </row>
    <row r="25" spans="1:27">
      <c r="A25" s="445" t="s">
        <v>474</v>
      </c>
      <c r="B25" s="452">
        <v>0.18</v>
      </c>
      <c r="C25" s="454">
        <f>$J$27*B25</f>
        <v>175.32</v>
      </c>
      <c r="D25" s="454">
        <f>C25+C23</f>
        <v>253.24</v>
      </c>
      <c r="G25" s="445" t="s">
        <v>467</v>
      </c>
      <c r="H25" s="448">
        <v>3</v>
      </c>
      <c r="I25" s="448">
        <v>6</v>
      </c>
      <c r="J25" s="448">
        <f t="shared" si="3"/>
        <v>72</v>
      </c>
      <c r="K25" s="10">
        <v>12</v>
      </c>
    </row>
    <row r="26" spans="1:27">
      <c r="A26" s="445" t="s">
        <v>475</v>
      </c>
      <c r="B26" s="452">
        <v>0.56000000000000005</v>
      </c>
      <c r="C26" s="454">
        <f t="shared" si="2"/>
        <v>545.44000000000005</v>
      </c>
      <c r="D26" s="454">
        <f>C26</f>
        <v>545.44000000000005</v>
      </c>
      <c r="G26" s="445" t="s">
        <v>468</v>
      </c>
      <c r="H26" s="448">
        <v>15</v>
      </c>
      <c r="I26" s="448">
        <v>30</v>
      </c>
      <c r="J26" s="448">
        <f t="shared" si="3"/>
        <v>30</v>
      </c>
      <c r="K26" s="10">
        <v>1</v>
      </c>
    </row>
    <row r="27" spans="1:27">
      <c r="B27" s="523">
        <f>SUM(B23:B26)</f>
        <v>1</v>
      </c>
      <c r="G27" s="445"/>
      <c r="H27" s="448">
        <f>SUM(H23:H26)</f>
        <v>100</v>
      </c>
      <c r="I27" s="448">
        <f>SUM(I23:I26)</f>
        <v>200</v>
      </c>
      <c r="J27" s="450">
        <f>SUM(J23:J26)</f>
        <v>974</v>
      </c>
    </row>
    <row r="28" spans="1:27" ht="13.5" thickBot="1">
      <c r="A28" s="9" t="s">
        <v>478</v>
      </c>
      <c r="I28" s="10" t="s">
        <v>498</v>
      </c>
      <c r="J28" s="451">
        <f>J27/I27</f>
        <v>4.87</v>
      </c>
      <c r="K28" s="449" t="s">
        <v>471</v>
      </c>
    </row>
    <row r="29" spans="1:27" ht="14.25" thickTop="1" thickBot="1">
      <c r="A29" s="443"/>
      <c r="B29" s="222"/>
      <c r="C29" s="447"/>
    </row>
    <row r="30" spans="1:27" ht="13.5" thickBot="1">
      <c r="A30" s="444" t="s">
        <v>479</v>
      </c>
      <c r="B30" s="454"/>
      <c r="C30" s="454">
        <v>35630</v>
      </c>
      <c r="E30" s="443" t="s">
        <v>480</v>
      </c>
      <c r="F30" s="222"/>
      <c r="G30" s="222" t="s">
        <v>43</v>
      </c>
    </row>
    <row r="31" spans="1:27">
      <c r="A31" s="445" t="s">
        <v>489</v>
      </c>
      <c r="B31" s="453">
        <f>G31+G32</f>
        <v>53.300000000000004</v>
      </c>
      <c r="C31" s="454">
        <f>(C30*B31)/100</f>
        <v>18990.79</v>
      </c>
      <c r="E31" s="455" t="s">
        <v>481</v>
      </c>
      <c r="F31" s="454" t="s">
        <v>485</v>
      </c>
      <c r="G31" s="453">
        <v>2.7</v>
      </c>
    </row>
    <row r="32" spans="1:27">
      <c r="A32" s="445" t="s">
        <v>490</v>
      </c>
      <c r="B32" s="454">
        <v>2</v>
      </c>
      <c r="C32" s="457">
        <f>C31/B32</f>
        <v>9495.3950000000004</v>
      </c>
      <c r="D32" s="449" t="s">
        <v>477</v>
      </c>
      <c r="E32" s="456" t="s">
        <v>482</v>
      </c>
      <c r="F32" s="454" t="s">
        <v>486</v>
      </c>
      <c r="G32" s="453">
        <v>50.6</v>
      </c>
    </row>
    <row r="33" spans="1:9">
      <c r="A33" s="445"/>
      <c r="B33" s="454"/>
      <c r="C33" s="454"/>
      <c r="E33" s="456" t="s">
        <v>483</v>
      </c>
      <c r="F33" s="454" t="s">
        <v>487</v>
      </c>
      <c r="G33" s="453">
        <v>33.6</v>
      </c>
    </row>
    <row r="34" spans="1:9">
      <c r="E34" s="456" t="s">
        <v>484</v>
      </c>
      <c r="F34" s="454" t="s">
        <v>488</v>
      </c>
      <c r="G34" s="453">
        <v>13.1</v>
      </c>
    </row>
    <row r="35" spans="1:9">
      <c r="A35" s="9" t="s">
        <v>491</v>
      </c>
    </row>
    <row r="36" spans="1:9">
      <c r="A36" s="446" t="s">
        <v>492</v>
      </c>
    </row>
    <row r="37" spans="1:9" ht="13.5">
      <c r="I37" s="461" t="s">
        <v>499</v>
      </c>
    </row>
    <row r="38" spans="1:9">
      <c r="B38" s="10" t="s">
        <v>464</v>
      </c>
      <c r="C38" s="449" t="s">
        <v>493</v>
      </c>
      <c r="H38" s="449">
        <v>1</v>
      </c>
      <c r="I38" s="10" t="s">
        <v>500</v>
      </c>
    </row>
    <row r="39" spans="1:9">
      <c r="B39" s="10" t="s">
        <v>477</v>
      </c>
      <c r="C39" s="449" t="s">
        <v>494</v>
      </c>
      <c r="H39" s="449">
        <v>2</v>
      </c>
      <c r="I39" s="10" t="s">
        <v>501</v>
      </c>
    </row>
    <row r="40" spans="1:9">
      <c r="B40" s="10" t="s">
        <v>495</v>
      </c>
      <c r="C40" s="449" t="s">
        <v>496</v>
      </c>
      <c r="H40" s="449">
        <v>3</v>
      </c>
      <c r="I40" s="10" t="s">
        <v>502</v>
      </c>
    </row>
    <row r="41" spans="1:9">
      <c r="H41" s="449">
        <v>4</v>
      </c>
      <c r="I41" s="10" t="s">
        <v>503</v>
      </c>
    </row>
    <row r="42" spans="1:9" ht="13.5">
      <c r="B42" s="459" t="s">
        <v>497</v>
      </c>
      <c r="C42" s="460">
        <f>C32*J28</f>
        <v>46242.573650000006</v>
      </c>
      <c r="H42" s="449">
        <v>5</v>
      </c>
      <c r="I42" s="10" t="s">
        <v>560</v>
      </c>
    </row>
    <row r="44" spans="1:9" ht="13.5">
      <c r="C44" s="464">
        <f>C42/H42</f>
        <v>9248.5147300000008</v>
      </c>
      <c r="D44" s="462" t="s">
        <v>504</v>
      </c>
      <c r="E44" s="463"/>
      <c r="G44" s="449"/>
    </row>
    <row r="45" spans="1:9">
      <c r="C45" s="458"/>
      <c r="D45" s="449"/>
    </row>
  </sheetData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4"/>
  <sheetViews>
    <sheetView tabSelected="1" workbookViewId="0">
      <selection activeCell="L3" sqref="L3"/>
    </sheetView>
  </sheetViews>
  <sheetFormatPr baseColWidth="10" defaultRowHeight="15"/>
  <cols>
    <col min="12" max="12" width="12.7109375" customWidth="1"/>
  </cols>
  <sheetData>
    <row r="2" spans="2:15">
      <c r="J2" t="s">
        <v>433</v>
      </c>
      <c r="N2" t="s">
        <v>434</v>
      </c>
    </row>
    <row r="3" spans="2:15">
      <c r="K3" t="s">
        <v>435</v>
      </c>
      <c r="L3" s="433">
        <v>31151643</v>
      </c>
      <c r="N3" s="433">
        <v>15535208</v>
      </c>
      <c r="O3" t="s">
        <v>436</v>
      </c>
    </row>
    <row r="4" spans="2:15">
      <c r="K4" t="s">
        <v>437</v>
      </c>
      <c r="L4">
        <v>126492</v>
      </c>
    </row>
    <row r="5" spans="2:15">
      <c r="K5" t="s">
        <v>438</v>
      </c>
      <c r="L5" s="432">
        <v>70694</v>
      </c>
    </row>
    <row r="7" spans="2:15">
      <c r="K7" t="s">
        <v>439</v>
      </c>
    </row>
    <row r="8" spans="2:15">
      <c r="B8" s="427" t="s">
        <v>422</v>
      </c>
      <c r="C8" s="434">
        <f>N12</f>
        <v>35629.775999999998</v>
      </c>
      <c r="L8" t="s">
        <v>440</v>
      </c>
      <c r="M8" s="435">
        <v>0.22800000000000001</v>
      </c>
    </row>
    <row r="9" spans="2:15">
      <c r="B9" s="427" t="s">
        <v>423</v>
      </c>
      <c r="C9" s="428">
        <v>0.15</v>
      </c>
      <c r="L9" t="s">
        <v>441</v>
      </c>
      <c r="M9" s="435">
        <v>0.108</v>
      </c>
    </row>
    <row r="10" spans="2:15">
      <c r="B10" s="427" t="s">
        <v>424</v>
      </c>
      <c r="C10" s="428">
        <f>1-C9</f>
        <v>0.85</v>
      </c>
      <c r="E10" s="509" t="s">
        <v>425</v>
      </c>
      <c r="F10" s="429">
        <f>((C12^2)*(C9*C10*C8))</f>
        <v>17451.606803904</v>
      </c>
      <c r="L10" t="s">
        <v>442</v>
      </c>
      <c r="M10" s="435">
        <v>0.16800000000000001</v>
      </c>
    </row>
    <row r="11" spans="2:15">
      <c r="B11" s="427" t="s">
        <v>426</v>
      </c>
      <c r="C11" s="428">
        <v>0.05</v>
      </c>
      <c r="E11" s="509"/>
      <c r="F11" s="430">
        <f>((C11^2)*(C8-1)+(C12^2)*(C9*C10))</f>
        <v>89.561744000000019</v>
      </c>
      <c r="M11" s="435">
        <f>SUM(M8:M10)</f>
        <v>0.504</v>
      </c>
    </row>
    <row r="12" spans="2:15">
      <c r="B12" s="427" t="s">
        <v>427</v>
      </c>
      <c r="C12" s="428">
        <v>1.96</v>
      </c>
      <c r="N12" s="436">
        <f>L5*M11</f>
        <v>35629.775999999998</v>
      </c>
      <c r="O12" t="s">
        <v>443</v>
      </c>
    </row>
    <row r="14" spans="2:15" ht="15.75" thickBot="1">
      <c r="E14" s="431" t="s">
        <v>428</v>
      </c>
      <c r="F14" s="437">
        <f>F10/F11</f>
        <v>194.85559374440047</v>
      </c>
      <c r="G14" s="432" t="s">
        <v>429</v>
      </c>
    </row>
    <row r="15" spans="2:15" ht="15.75" thickTop="1"/>
    <row r="18" spans="1:2">
      <c r="B18" t="s">
        <v>444</v>
      </c>
    </row>
    <row r="19" spans="1:2">
      <c r="B19" t="s">
        <v>445</v>
      </c>
    </row>
    <row r="20" spans="1:2">
      <c r="B20" t="s">
        <v>446</v>
      </c>
    </row>
    <row r="21" spans="1:2">
      <c r="B21" t="s">
        <v>447</v>
      </c>
    </row>
    <row r="22" spans="1:2">
      <c r="B22" t="s">
        <v>448</v>
      </c>
    </row>
    <row r="24" spans="1:2">
      <c r="A24" t="s">
        <v>449</v>
      </c>
    </row>
  </sheetData>
  <mergeCells count="1">
    <mergeCell ref="E10:E11"/>
  </mergeCells>
  <pageMargins left="0.7" right="0.7" top="0.75" bottom="0.75" header="0.3" footer="0.3"/>
  <pageSetup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INDICE GENERAL</vt:lpstr>
      <vt:lpstr>LOCALIZACION</vt:lpstr>
      <vt:lpstr>CROQUIS</vt:lpstr>
      <vt:lpstr>ORGANIGRAMA</vt:lpstr>
      <vt:lpstr>INVERSION TOTAL</vt:lpstr>
      <vt:lpstr>FINANCIAMIENTO</vt:lpstr>
      <vt:lpstr>AMORTIZACION DE CREDITO</vt:lpstr>
      <vt:lpstr>INGRESO POR VENTAS</vt:lpstr>
      <vt:lpstr>MUESTRA</vt:lpstr>
      <vt:lpstr>PLANILLA DE EMPLEADOS</vt:lpstr>
      <vt:lpstr>GASTOS INDIRECTOS</vt:lpstr>
      <vt:lpstr>DEPRECIACION DE EQUIPOS</vt:lpstr>
      <vt:lpstr>PRESUPUESTO DE GASTOS</vt:lpstr>
      <vt:lpstr>ESTADO DE GANACIAS Y PERDIDAS</vt:lpstr>
      <vt:lpstr>BALANCE GENERAL</vt:lpstr>
      <vt:lpstr>FLUJO DE CAJA ECON FINANCI</vt:lpstr>
      <vt:lpstr>EVALUACION COSTO BENEFICIO</vt:lpstr>
      <vt:lpstr>PUNTO DE EQUILIBRIO</vt:lpstr>
      <vt:lpstr>PRINCIPALES RATIOS</vt:lpstr>
      <vt:lpstr>CUADROS DE RATIOS</vt:lpstr>
      <vt:lpstr>PRI</vt:lpstr>
      <vt:lpstr>encuestas</vt:lpstr>
      <vt:lpstr>Hoja2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NORMITA</dc:creator>
  <cp:lastModifiedBy>Luffi</cp:lastModifiedBy>
  <cp:lastPrinted>2015-09-04T17:43:48Z</cp:lastPrinted>
  <dcterms:created xsi:type="dcterms:W3CDTF">2014-04-17T16:27:25Z</dcterms:created>
  <dcterms:modified xsi:type="dcterms:W3CDTF">2016-09-03T04:42:03Z</dcterms:modified>
</cp:coreProperties>
</file>