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290" tabRatio="923" activeTab="1"/>
  </bookViews>
  <sheets>
    <sheet name="INDICE" sheetId="1" r:id="rId1"/>
    <sheet name="INVERSION TOTAL" sheetId="2" r:id="rId2"/>
    <sheet name="FINANCIAMIENTO" sheetId="3" r:id="rId3"/>
    <sheet name="AMORTIZACION DE CREDITO" sheetId="4" r:id="rId4"/>
    <sheet name="INGRESO POR VENTAS" sheetId="5" r:id="rId5"/>
    <sheet name="PLANILLA DE EMPLEADOS" sheetId="6" r:id="rId6"/>
    <sheet name="GASTOS INDIRECTOS" sheetId="7" r:id="rId7"/>
    <sheet name="DEPRECIACION" sheetId="8" r:id="rId8"/>
    <sheet name="PRESUPUESTO DE GASTOS" sheetId="9" r:id="rId9"/>
    <sheet name="ESTADO DE GANACIAS Y PERDIDAS" sheetId="10" r:id="rId10"/>
    <sheet name="BALANCE GENERAL 1" sheetId="11" state="hidden" r:id="rId11"/>
    <sheet name="BALANCE GENERAL" sheetId="12" r:id="rId12"/>
    <sheet name="FLUJO DE CAJA ECON FINANCI" sheetId="13" r:id="rId13"/>
    <sheet name="VAN TIR" sheetId="14" r:id="rId14"/>
    <sheet name="COSTO BENEFICIO" sheetId="15" r:id="rId15"/>
    <sheet name="PUNTO DE EQUILIBRIO" sheetId="16" r:id="rId16"/>
    <sheet name="PRINCIPALES RATIOS" sheetId="17" r:id="rId17"/>
    <sheet name="PRINCIPALES RATIOS (2)" sheetId="18" state="hidden" r:id="rId18"/>
    <sheet name="CUADROS DE RATIOS" sheetId="19" r:id="rId19"/>
    <sheet name="ELAB DE PRECIO" sheetId="20" r:id="rId20"/>
    <sheet name="COK" sheetId="21" state="hidden" r:id="rId21"/>
  </sheets>
  <externalReferences>
    <externalReference r:id="rId24"/>
  </externalReferences>
  <definedNames>
    <definedName name="_Toc459232211" localSheetId="7">'DEPRECIACION'!#REF!</definedName>
  </definedNames>
  <calcPr fullCalcOnLoad="1"/>
</workbook>
</file>

<file path=xl/sharedStrings.xml><?xml version="1.0" encoding="utf-8"?>
<sst xmlns="http://schemas.openxmlformats.org/spreadsheetml/2006/main" count="1116" uniqueCount="521">
  <si>
    <t>INVERSION</t>
  </si>
  <si>
    <t>BALANCE GENERAL</t>
  </si>
  <si>
    <t>TECNICAS DE PROYECCION DE MERCADO</t>
  </si>
  <si>
    <t>FINANCIAMIENTO</t>
  </si>
  <si>
    <t>DETERMINACION DEL TAMAÑO</t>
  </si>
  <si>
    <t>AMORTIZACION</t>
  </si>
  <si>
    <t>COSTO BENEFICIO</t>
  </si>
  <si>
    <t>ESTUDIO LEGAL</t>
  </si>
  <si>
    <t>INGRESO POR VENTAS</t>
  </si>
  <si>
    <t>PUNTO DE EQUILIBRIO</t>
  </si>
  <si>
    <t>ANALISIS DE RIESGO</t>
  </si>
  <si>
    <t>PLANILLA DE EMPLEADOS</t>
  </si>
  <si>
    <t>PRINCIPALES RATIOS</t>
  </si>
  <si>
    <t>ANALISIS DE SENSIBILIDAD</t>
  </si>
  <si>
    <t>GASTOS INDIRECTOS</t>
  </si>
  <si>
    <t>ESTRUCTURA DE MERCADO</t>
  </si>
  <si>
    <t>DEPRECIACION</t>
  </si>
  <si>
    <t>INDICE DE RENTABILIDAD</t>
  </si>
  <si>
    <t>RATIOS DE COMPETITIVIDAD</t>
  </si>
  <si>
    <t>PRESUPUESTO DE GASTOS</t>
  </si>
  <si>
    <t>APALANCAMIENTO OPERATIVO-RIESGO OPERATIVO</t>
  </si>
  <si>
    <t>ESTADO GANANCIAS Y PERDIDAS</t>
  </si>
  <si>
    <t>APALANCAMIENTO OPERATIVO</t>
  </si>
  <si>
    <t>ESTRUCTURA DE LA INVERSION</t>
  </si>
  <si>
    <t>RUBRO</t>
  </si>
  <si>
    <t>VALOR UNITARIO</t>
  </si>
  <si>
    <t>CANT.</t>
  </si>
  <si>
    <t>UNID.</t>
  </si>
  <si>
    <t>COSTO TOTAL</t>
  </si>
  <si>
    <t>I. ACTIVO FIJO</t>
  </si>
  <si>
    <t>A. TANGIBLES</t>
  </si>
  <si>
    <t>Maquinaria y/o Equipos</t>
  </si>
  <si>
    <t>Computadora</t>
  </si>
  <si>
    <t>Unidad</t>
  </si>
  <si>
    <t>Muebles y enseres</t>
  </si>
  <si>
    <t>Escritorio</t>
  </si>
  <si>
    <t>Silla Ejecutiva</t>
  </si>
  <si>
    <t>Otros</t>
  </si>
  <si>
    <t>Extintor</t>
  </si>
  <si>
    <t>Botiquin</t>
  </si>
  <si>
    <t>TOTAL TANGIBLES</t>
  </si>
  <si>
    <t>B. INTANGIBLES</t>
  </si>
  <si>
    <t>LIC. DE FUNCIONAMIENTO</t>
  </si>
  <si>
    <t>documento</t>
  </si>
  <si>
    <t>LIC. DE PUBLICIDAD</t>
  </si>
  <si>
    <t>DEFENSA CIVIL</t>
  </si>
  <si>
    <t>TOTAL INTANGIBLES</t>
  </si>
  <si>
    <t>TOTAL ACTIVO FIJO</t>
  </si>
  <si>
    <t>II. CAPITAL DE TRABAJO</t>
  </si>
  <si>
    <t>MANO DE OBRA DIRECTA</t>
  </si>
  <si>
    <t>TOTAL CAPITAL DE TRABAJO</t>
  </si>
  <si>
    <t>TOTAL COSTOS</t>
  </si>
  <si>
    <t>FUENTE: ELABORACION PROPIA</t>
  </si>
  <si>
    <t>FUENTES DE FINANCIAMIENTO</t>
  </si>
  <si>
    <t>FUENTE</t>
  </si>
  <si>
    <t>DESTINO</t>
  </si>
  <si>
    <t>INVERSION FIJA</t>
  </si>
  <si>
    <t>CAPITAL DE TRABAJO</t>
  </si>
  <si>
    <t>TOTAL</t>
  </si>
  <si>
    <t>%</t>
  </si>
  <si>
    <t>APORTE PROPIO</t>
  </si>
  <si>
    <t>PRESTAMO</t>
  </si>
  <si>
    <t>MONTO</t>
  </si>
  <si>
    <t>TEA</t>
  </si>
  <si>
    <t>PLAZO</t>
  </si>
  <si>
    <t>TM =</t>
  </si>
  <si>
    <t>((1 + TEA/100)^(1/12)) - 1</t>
  </si>
  <si>
    <t>SEG DESG</t>
  </si>
  <si>
    <t>TEM</t>
  </si>
  <si>
    <t>TEM SEG DES</t>
  </si>
  <si>
    <t>TEM TOTAL</t>
  </si>
  <si>
    <t>CUOTA</t>
  </si>
  <si>
    <t>CRONOGRAMA DE PAGOS</t>
  </si>
  <si>
    <t>MES</t>
  </si>
  <si>
    <t>SALDO</t>
  </si>
  <si>
    <t>AMORT.</t>
  </si>
  <si>
    <t>INTERES</t>
  </si>
  <si>
    <t xml:space="preserve">R = P x   </t>
  </si>
  <si>
    <t>R= CUOTA FIJA</t>
  </si>
  <si>
    <t>P= MONTO DEL PRESTAMO</t>
  </si>
  <si>
    <t>i= TASA DE INTERES</t>
  </si>
  <si>
    <t>n= TIEPO</t>
  </si>
  <si>
    <t>PROYECCION DE SERVICIOS REALIZADOS</t>
  </si>
  <si>
    <t>SERVICIO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</si>
  <si>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</si>
  <si>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</si>
  <si>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</si>
  <si>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</si>
  <si>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</si>
  <si>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</si>
  <si>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</si>
  <si>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</si>
  <si>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</si>
  <si>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</si>
  <si>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</si>
  <si>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</si>
  <si>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</si>
  <si>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</si>
  <si>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</si>
  <si>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</si>
  <si>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</si>
  <si>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</si>
  <si>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</si>
  <si>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</si>
  <si>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</si>
  <si>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</si>
  <si>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</si>
  <si>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</si>
  <si>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PROYECCION DE VENTAS</t>
  </si>
  <si>
    <t>P. U.</t>
  </si>
  <si>
    <t>TOTAL VENTAS</t>
  </si>
  <si>
    <t>SNP</t>
  </si>
  <si>
    <t>Aporte
Obligtorio</t>
  </si>
  <si>
    <t>Comision</t>
  </si>
  <si>
    <t>Comision
Mixta</t>
  </si>
  <si>
    <t>ESSALUD</t>
  </si>
  <si>
    <t>DESCRIPCION</t>
  </si>
  <si>
    <t>CANTIDAD</t>
  </si>
  <si>
    <t>SUELDO MES</t>
  </si>
  <si>
    <t>TOTAL
DESCUENTO</t>
  </si>
  <si>
    <t>NETO A PAGAR</t>
  </si>
  <si>
    <t>TOTAL
GASTO</t>
  </si>
  <si>
    <t>CANTIDAD EN
VACACIONES</t>
  </si>
  <si>
    <t>MANO DE OBRA INDIRECTA</t>
  </si>
  <si>
    <t>TOTAL MO</t>
  </si>
  <si>
    <t>Gastos Administrativos</t>
  </si>
  <si>
    <t>Alquiler</t>
  </si>
  <si>
    <t>Agua</t>
  </si>
  <si>
    <t>Energia Electrica</t>
  </si>
  <si>
    <t>Gastos de venta</t>
  </si>
  <si>
    <t>TOTAL COSTOS INDIRECTOS</t>
  </si>
  <si>
    <t>DEPRECIACION DE MAQUINARIA MUEBLES Y ENSERES</t>
  </si>
  <si>
    <t>TASA DE DEPRECIACION</t>
  </si>
  <si>
    <t>VIDA UTIL (MESES)</t>
  </si>
  <si>
    <t>DEPRECIACION MES</t>
  </si>
  <si>
    <t>MAQUINARIA Y EQUIPOS</t>
  </si>
  <si>
    <t>DEPRECIACION MENSUAL</t>
  </si>
  <si>
    <t>EVOLUCIÓN DE LOS PORCENTAJES ANUALES DE DEPRECIACIÓN DE BIENES QUE GENERAN RENTAS GRAVADAS DE TERCERA CATEGORÍA: 1990-2014   1/</t>
  </si>
  <si>
    <t>Porcentaje Anual de Depreciación  2/</t>
  </si>
  <si>
    <t>Vida</t>
  </si>
  <si>
    <t>1992-1993</t>
  </si>
  <si>
    <t>1994-1995</t>
  </si>
  <si>
    <t>1996-1998</t>
  </si>
  <si>
    <t>2000 - 2009</t>
  </si>
  <si>
    <t>2010 - 2014</t>
  </si>
  <si>
    <t>Bienes</t>
  </si>
  <si>
    <t>útil</t>
  </si>
  <si>
    <t>(años)</t>
  </si>
  <si>
    <t xml:space="preserve"> - Viviendas para alquiler                      3/  </t>
  </si>
  <si>
    <t xml:space="preserve"> - Establecimiento de hospedaje     4/   </t>
  </si>
  <si>
    <t xml:space="preserve"> - Titulares de inversión turística      5/</t>
  </si>
  <si>
    <t xml:space="preserve"> - Edificios y construcciones</t>
  </si>
  <si>
    <t xml:space="preserve"> - Ganado de trabajo y reproducción; redes de pesca     6/</t>
  </si>
  <si>
    <t xml:space="preserve"> - Aves reproductoras  (gallinas)                                             7/</t>
  </si>
  <si>
    <t xml:space="preserve"> - Vehículos de transporte terrestre (excepto ferrocarriles); hornos en general</t>
  </si>
  <si>
    <t xml:space="preserve"> - Maquinarias y equipos utilizados por las actividades minera, petrolera y de</t>
  </si>
  <si>
    <t xml:space="preserve">   construcción; excepto muebles, enseres y equipos de oficina 8/</t>
  </si>
  <si>
    <t xml:space="preserve"> - Equipos de procesamiento de datos                                  9/</t>
  </si>
  <si>
    <t xml:space="preserve"> - Maquinaria y equipo adquirido a partir del 01/01/91      10/</t>
  </si>
  <si>
    <t xml:space="preserve"> - Otros bienes del activo fijo</t>
  </si>
  <si>
    <t>CONCEPTO</t>
  </si>
  <si>
    <t>A.- COSTOS DIRECTOS</t>
  </si>
  <si>
    <t>I. MATERIALES USADOS</t>
  </si>
  <si>
    <t>II. MANO DE OBRA DIRECTA</t>
  </si>
  <si>
    <t xml:space="preserve">Sueldos </t>
  </si>
  <si>
    <t>B.- COSTOS INDIRECTOS</t>
  </si>
  <si>
    <t>GASTOS DE OPERACIÓN</t>
  </si>
  <si>
    <t>A.- GASTOS DE VENTAS</t>
  </si>
  <si>
    <t>B.- GASTOS ADMINISTRACION</t>
  </si>
  <si>
    <t>Planilla de Empleados</t>
  </si>
  <si>
    <t>Depreciación</t>
  </si>
  <si>
    <t>ESTADO DE PÉRDIDAS Y GANANCIAS</t>
  </si>
  <si>
    <t>A. INGRESOS</t>
  </si>
  <si>
    <t>B. COSTOS</t>
  </si>
  <si>
    <t>Mano de obra directa</t>
  </si>
  <si>
    <t>Reposicion de implementos</t>
  </si>
  <si>
    <t>Costos Indirectos</t>
  </si>
  <si>
    <t>C. UTILIDAD BRUTA</t>
  </si>
  <si>
    <t>Administración</t>
  </si>
  <si>
    <t>Ventas</t>
  </si>
  <si>
    <t>D. UTILIDAD DE OPERACIÓN</t>
  </si>
  <si>
    <t>Gastos Financieros</t>
  </si>
  <si>
    <t>Depreciación equipo</t>
  </si>
  <si>
    <t>E. UTILIDAD ANTES DE IMPUESTOS</t>
  </si>
  <si>
    <t>Impuesto a la Renta</t>
  </si>
  <si>
    <t>UTILIDAD NETA</t>
  </si>
  <si>
    <t>RENTABILIDAD DE VENTAS ((UTILIDAD NETA/INGRESOS)*100)</t>
  </si>
  <si>
    <t>Estado de Situación Financiera Balance General</t>
  </si>
  <si>
    <t>1ER TRIMESTRE</t>
  </si>
  <si>
    <t>2DO TRIMESTRE</t>
  </si>
  <si>
    <t>3ER TRIMESTRE</t>
  </si>
  <si>
    <t>4TO TRIMESTRE</t>
  </si>
  <si>
    <t>5TO TRIMESTRE</t>
  </si>
  <si>
    <t>6TO TRIMESTRE</t>
  </si>
  <si>
    <t>7MO TRIMESTRE</t>
  </si>
  <si>
    <t>8VO TRIMESTRE</t>
  </si>
  <si>
    <t>ACTIVO/</t>
  </si>
  <si>
    <t>Activo Corriente/</t>
  </si>
  <si>
    <t>1.1.1</t>
  </si>
  <si>
    <t>CyB</t>
  </si>
  <si>
    <t>Caja y Bancos/</t>
  </si>
  <si>
    <t>CxCC</t>
  </si>
  <si>
    <t>Cuentas por Cobrar Comerciales</t>
  </si>
  <si>
    <t>1.1.2</t>
  </si>
  <si>
    <t>Exit</t>
  </si>
  <si>
    <t>Existencias/</t>
  </si>
  <si>
    <t>TOTAL ACTIVO CORRIENTE/</t>
  </si>
  <si>
    <t>1.2.</t>
  </si>
  <si>
    <t>Activo No Corriente/</t>
  </si>
  <si>
    <t>1.2.1</t>
  </si>
  <si>
    <t>IME</t>
  </si>
  <si>
    <t>Inmueble Maquinaria y Eq</t>
  </si>
  <si>
    <t>1.2.2</t>
  </si>
  <si>
    <t>AIN</t>
  </si>
  <si>
    <t>Activos Intangibles (neto)/</t>
  </si>
  <si>
    <t>1.2.3</t>
  </si>
  <si>
    <t>DEPR</t>
  </si>
  <si>
    <t>Depreciacion Acumulada /</t>
  </si>
  <si>
    <t>TOTAL ACTIVO NO CORRIENTE/</t>
  </si>
  <si>
    <t>TOTAL ACTIVO/</t>
  </si>
  <si>
    <t>PASIVO Y PATRIMONIO</t>
  </si>
  <si>
    <t>Pasivo Corriente/</t>
  </si>
  <si>
    <t>2.1.1</t>
  </si>
  <si>
    <t>TribxP</t>
  </si>
  <si>
    <t>Tributos por Pagar</t>
  </si>
  <si>
    <t>2.1.2</t>
  </si>
  <si>
    <t>CPPC</t>
  </si>
  <si>
    <t>Cuentas por Pagar Comerciales/</t>
  </si>
  <si>
    <t>2.1.3</t>
  </si>
  <si>
    <t>CPPER</t>
  </si>
  <si>
    <t>Cuentas por Pagar a Entidades Financieras/</t>
  </si>
  <si>
    <t>TOTAL PASIVO CORRIENTE/</t>
  </si>
  <si>
    <t>Pasivo  No Corriente/</t>
  </si>
  <si>
    <t>2.2.1</t>
  </si>
  <si>
    <t>TOTAL PASIVO NO CORRIENTE/</t>
  </si>
  <si>
    <t>TOTAL PASIVO/</t>
  </si>
  <si>
    <t>PATRIMONIO NETO/</t>
  </si>
  <si>
    <t>2.4.1</t>
  </si>
  <si>
    <t>Capi</t>
  </si>
  <si>
    <t>Capital/</t>
  </si>
  <si>
    <t>2.4.6</t>
  </si>
  <si>
    <t>Util</t>
  </si>
  <si>
    <t>Utilidad del Ejercicio</t>
  </si>
  <si>
    <t>2.4.7</t>
  </si>
  <si>
    <t>ORC</t>
  </si>
  <si>
    <t>Utilidad de Trimestres pasados</t>
  </si>
  <si>
    <t>TOTAL PATRIMONIO NETO/</t>
  </si>
  <si>
    <t>TOTAL PASIVO Y PATRIMONIO NETO/</t>
  </si>
  <si>
    <t>FLUJO ECONÓMICO ‑ FINANCIERO</t>
  </si>
  <si>
    <t>INGRESOS</t>
  </si>
  <si>
    <t>COSTOS</t>
  </si>
  <si>
    <t>Inversión</t>
  </si>
  <si>
    <t>Costos de Producción (1)</t>
  </si>
  <si>
    <t>Gastos de Ventas</t>
  </si>
  <si>
    <t>Gastos Administrativos (2)</t>
  </si>
  <si>
    <t>FLUJO ECONÓMICO</t>
  </si>
  <si>
    <t>Préstamo</t>
  </si>
  <si>
    <t>Amortización</t>
  </si>
  <si>
    <t>Intereses</t>
  </si>
  <si>
    <t>FLUJO FINANCIERO</t>
  </si>
  <si>
    <t>TIRF</t>
  </si>
  <si>
    <t>VANF</t>
  </si>
  <si>
    <t>EVALUACION COSTO - BENEFICIO</t>
  </si>
  <si>
    <t>MESES</t>
  </si>
  <si>
    <t>INGRESOS ACTUALIZADOS</t>
  </si>
  <si>
    <t>COSTOS ACTUALIZADOS</t>
  </si>
  <si>
    <t>B/C</t>
  </si>
  <si>
    <t xml:space="preserve">Es la division de las actualizaciones de los ingresos y costos del proyecto </t>
  </si>
  <si>
    <t>si el resultado es mayor a 1 el proyecto es viable.</t>
  </si>
  <si>
    <t>Linea de Comercializacion</t>
  </si>
  <si>
    <t>SERVICIOS AL MES (Unid)</t>
  </si>
  <si>
    <t>% Participacion</t>
  </si>
  <si>
    <t xml:space="preserve">Precio Venta </t>
  </si>
  <si>
    <t xml:space="preserve">Costo Variable Unitario    </t>
  </si>
  <si>
    <t>Margen</t>
  </si>
  <si>
    <t>Margen Ponderado</t>
  </si>
  <si>
    <t>PUNTO DE EQUILIBRIO en Unidades</t>
  </si>
  <si>
    <t>PUNTO DE EQUILIBRIO en soles</t>
  </si>
  <si>
    <t>Nuevos Soles</t>
  </si>
  <si>
    <t>COSTOS FIJOS</t>
  </si>
  <si>
    <t>Punto de equilibrio</t>
  </si>
  <si>
    <t>El Punto de Equilibro del proyecto es aquel nivel de ventas que iguala al total de los costos, es decir, es aquel punto donde no existen ganancias ni pérdidas.</t>
  </si>
  <si>
    <t>En el punto de equilibrio el proyecto cubre todos sus costos, tanto los fijos como los variables.</t>
  </si>
  <si>
    <t>MANO DE OBRA</t>
  </si>
  <si>
    <t>RATIOS FINANCIEROS</t>
  </si>
  <si>
    <t>ABREV</t>
  </si>
  <si>
    <t>PRINCIPALES CTAS</t>
  </si>
  <si>
    <t>AC</t>
  </si>
  <si>
    <t>Activo Corriente</t>
  </si>
  <si>
    <t>PC</t>
  </si>
  <si>
    <t>Pasivo Corriente</t>
  </si>
  <si>
    <t>Existencias</t>
  </si>
  <si>
    <t>Caja y Bancos</t>
  </si>
  <si>
    <t>Patri</t>
  </si>
  <si>
    <t>Patrimonio</t>
  </si>
  <si>
    <t>PNC</t>
  </si>
  <si>
    <t>Pasivo No Corriente</t>
  </si>
  <si>
    <t>UN</t>
  </si>
  <si>
    <t>Utilidad Neta</t>
  </si>
  <si>
    <t>TA</t>
  </si>
  <si>
    <t>Total Activo</t>
  </si>
  <si>
    <t>TP</t>
  </si>
  <si>
    <t>Total Pasivo</t>
  </si>
  <si>
    <t>UB</t>
  </si>
  <si>
    <t>Utilidad Bruta</t>
  </si>
  <si>
    <t>VN</t>
  </si>
  <si>
    <t>Ventas Netas</t>
  </si>
  <si>
    <t>CPCC</t>
  </si>
  <si>
    <t>CV</t>
  </si>
  <si>
    <t>Costo de Ventas</t>
  </si>
  <si>
    <t>AF</t>
  </si>
  <si>
    <t>Activo fijo</t>
  </si>
  <si>
    <t>UAI</t>
  </si>
  <si>
    <t>Utilidad antes de los impuestos</t>
  </si>
  <si>
    <t>GF</t>
  </si>
  <si>
    <t>Gastos financieros</t>
  </si>
  <si>
    <t>GO</t>
  </si>
  <si>
    <t>Gastos operacionales</t>
  </si>
  <si>
    <t>CS</t>
  </si>
  <si>
    <t>Capital social</t>
  </si>
  <si>
    <t>1. RATIOS DE LIQUIDEZ</t>
  </si>
  <si>
    <t>Liquidez General (AC/PC)</t>
  </si>
  <si>
    <t>Prueba Acida ( (AC-EXIS)/PC)</t>
  </si>
  <si>
    <t>Prueba Defensiva (CB/PC)</t>
  </si>
  <si>
    <t>Capital de Trabajo (AC-PC)</t>
  </si>
  <si>
    <t>2. RATIOS DE GESTION O ACTIVIDAD</t>
  </si>
  <si>
    <t>Rotacion de Inmueble Maquinaria y Equipo</t>
  </si>
  <si>
    <t>Rotacion de existencias</t>
  </si>
  <si>
    <t>Rotacion de caja y bancos</t>
  </si>
  <si>
    <t>Rotacion de activos totales</t>
  </si>
  <si>
    <t>Rotacion de activo fijo</t>
  </si>
  <si>
    <t>3. RATIOS DE SOLVENCIA O APALANCAMIENTO</t>
  </si>
  <si>
    <t>Estructura de capital(Pasivo total/Patrimonio)</t>
  </si>
  <si>
    <t>Endeudamiento total</t>
  </si>
  <si>
    <t>4. RATIOS DE RENTABILIDAD</t>
  </si>
  <si>
    <t>Rentabilidad sobre la inversion</t>
  </si>
  <si>
    <t>Rentabilidad sobre el patrimonio</t>
  </si>
  <si>
    <t>Rentabilidad sobre ventas</t>
  </si>
  <si>
    <t>Margen comercial</t>
  </si>
  <si>
    <t>Mostradores de vidrio</t>
  </si>
  <si>
    <t>Mostrador principal</t>
  </si>
  <si>
    <t>Impresora</t>
  </si>
  <si>
    <t>Escuadradora</t>
  </si>
  <si>
    <t>Emchapadora</t>
  </si>
  <si>
    <t>Caladora</t>
  </si>
  <si>
    <t>Pulidora</t>
  </si>
  <si>
    <t>Alicates</t>
  </si>
  <si>
    <t>Sierra</t>
  </si>
  <si>
    <t>Wincha</t>
  </si>
  <si>
    <t>Desarmadores</t>
  </si>
  <si>
    <t>Broca</t>
  </si>
  <si>
    <t>Taladro</t>
  </si>
  <si>
    <t>Esmeril</t>
  </si>
  <si>
    <t>juegos</t>
  </si>
  <si>
    <t>unidad</t>
  </si>
  <si>
    <t>Lima</t>
  </si>
  <si>
    <t>Espatula</t>
  </si>
  <si>
    <t>Mascaras de filtro</t>
  </si>
  <si>
    <t>Closet</t>
  </si>
  <si>
    <t>Centro de Entretenimiento Peq</t>
  </si>
  <si>
    <t>Centro de Entretenimiento Grand</t>
  </si>
  <si>
    <t>ARMADORES</t>
  </si>
  <si>
    <t>CORTADOR</t>
  </si>
  <si>
    <t>COSTO POR MUEBLE</t>
  </si>
  <si>
    <t>Melamina</t>
  </si>
  <si>
    <t>3 planchas</t>
  </si>
  <si>
    <t>tapacanto delgado</t>
  </si>
  <si>
    <t>35 mtrs</t>
  </si>
  <si>
    <t>pegamento</t>
  </si>
  <si>
    <t>1/4 kilo</t>
  </si>
  <si>
    <t>1 ciento</t>
  </si>
  <si>
    <t>tornillos 4x50</t>
  </si>
  <si>
    <t>tornilllos 4x30</t>
  </si>
  <si>
    <t>1/2 ciento</t>
  </si>
  <si>
    <t>Visagras</t>
  </si>
  <si>
    <t>16 unidades</t>
  </si>
  <si>
    <t>Corraderas telescopicas</t>
  </si>
  <si>
    <t>8 unidades</t>
  </si>
  <si>
    <t>Jaladores</t>
  </si>
  <si>
    <t>Escuadras plasticas</t>
  </si>
  <si>
    <t>12 unidades</t>
  </si>
  <si>
    <t>Deslizadores</t>
  </si>
  <si>
    <t>Nordex</t>
  </si>
  <si>
    <t>1 plancha</t>
  </si>
  <si>
    <t>Post formado</t>
  </si>
  <si>
    <t>2 mtros</t>
  </si>
  <si>
    <t>1  1/2 PLANCHA</t>
  </si>
  <si>
    <t>25 MTRS</t>
  </si>
  <si>
    <t>6 UNIDADES</t>
  </si>
  <si>
    <t>Tubo cromado</t>
  </si>
  <si>
    <t>50 cm</t>
  </si>
  <si>
    <t>50 unidades</t>
  </si>
  <si>
    <t>10 unidades</t>
  </si>
  <si>
    <t>Corraderas</t>
  </si>
  <si>
    <t>2 unidades</t>
  </si>
  <si>
    <t>6 unidades</t>
  </si>
  <si>
    <t>Canoplas</t>
  </si>
  <si>
    <t>4 unidades</t>
  </si>
  <si>
    <t>1/4 de plancha</t>
  </si>
  <si>
    <t>tapa tornillo</t>
  </si>
  <si>
    <t>80 unidades</t>
  </si>
  <si>
    <t>1/2 plancha</t>
  </si>
  <si>
    <t>30 unidades</t>
  </si>
  <si>
    <t>deslizadores</t>
  </si>
  <si>
    <t>soporte cromados</t>
  </si>
  <si>
    <t>vidrio</t>
  </si>
  <si>
    <t>1 unidades</t>
  </si>
  <si>
    <t>corraderas telescopicas livianas</t>
  </si>
  <si>
    <t>100 uniddes</t>
  </si>
  <si>
    <t>corraderas telescopicas pesadas</t>
  </si>
  <si>
    <t>espejo</t>
  </si>
  <si>
    <t>1 unidad</t>
  </si>
  <si>
    <t>soporte acrilico</t>
  </si>
  <si>
    <t>juegos de push</t>
  </si>
  <si>
    <t>tapcanto pbc</t>
  </si>
  <si>
    <t>20 mtrs</t>
  </si>
  <si>
    <t>soporte cromado</t>
  </si>
  <si>
    <t>Focos leds</t>
  </si>
  <si>
    <t>luces leds en cinta</t>
  </si>
  <si>
    <t>6 mts</t>
  </si>
  <si>
    <t>coperas</t>
  </si>
  <si>
    <t>1/4 plancha</t>
  </si>
  <si>
    <t>15 mtrs</t>
  </si>
  <si>
    <t>Vidrio</t>
  </si>
  <si>
    <t>Correderas simple</t>
  </si>
  <si>
    <t>Escuadras</t>
  </si>
  <si>
    <t>tapa tornillos</t>
  </si>
  <si>
    <t>20 unidades}</t>
  </si>
  <si>
    <t>Tapacanto delgado</t>
  </si>
  <si>
    <t>Tapacanto pbc</t>
  </si>
  <si>
    <t>jaladores</t>
  </si>
  <si>
    <t>1/4 Nordex</t>
  </si>
  <si>
    <t>23 unidades</t>
  </si>
  <si>
    <t>tapa canto</t>
  </si>
  <si>
    <t>12 metros</t>
  </si>
  <si>
    <t>MELAMINE DURAPLAC</t>
  </si>
  <si>
    <t>MELAMINE MASSISA</t>
  </si>
  <si>
    <t>MELAMINE DURATEX</t>
  </si>
  <si>
    <t>MELAMINES</t>
  </si>
  <si>
    <t>COSTO X UNIDAD</t>
  </si>
  <si>
    <t>GASTOS TOTALES</t>
  </si>
  <si>
    <t>CUOTA FIN</t>
  </si>
  <si>
    <r>
      <t xml:space="preserve">     i (1+i)</t>
    </r>
    <r>
      <rPr>
        <b/>
        <vertAlign val="superscript"/>
        <sz val="9"/>
        <color indexed="8"/>
        <rFont val="Arial"/>
        <family val="2"/>
      </rPr>
      <t xml:space="preserve"> n</t>
    </r>
  </si>
  <si>
    <r>
      <t>(1 + i)</t>
    </r>
    <r>
      <rPr>
        <b/>
        <vertAlign val="superscript"/>
        <sz val="9"/>
        <color indexed="8"/>
        <rFont val="Arial"/>
        <family val="2"/>
      </rPr>
      <t xml:space="preserve"> n</t>
    </r>
    <r>
      <rPr>
        <sz val="9"/>
        <color indexed="8"/>
        <rFont val="Arial"/>
        <family val="2"/>
      </rPr>
      <t xml:space="preserve"> ‑ 1</t>
    </r>
  </si>
  <si>
    <t>GRATIFICACION</t>
  </si>
  <si>
    <t>ADMINISTRADOR</t>
  </si>
  <si>
    <t>Archivador</t>
  </si>
  <si>
    <t>Sillas de espera</t>
  </si>
  <si>
    <t>ELABORACIÓN DE PLAN DE NEGOCIO</t>
  </si>
  <si>
    <t>CONSTITUCIÓN DE EMPRESA (Not, Reg Pub)</t>
  </si>
  <si>
    <t xml:space="preserve">INSUMOS </t>
  </si>
  <si>
    <t>TABLEROS DE MELAMINA</t>
  </si>
  <si>
    <t>UNIDAD</t>
  </si>
  <si>
    <t>PAQUETE</t>
  </si>
  <si>
    <t>ACCESORIOS</t>
  </si>
  <si>
    <t>Glb</t>
  </si>
  <si>
    <t>GLOBAL</t>
  </si>
  <si>
    <t>AYUDANTE</t>
  </si>
  <si>
    <t>TOTAL MANO DE OBRA</t>
  </si>
  <si>
    <t>ATENCIÓN AL CLIENTE</t>
  </si>
  <si>
    <t xml:space="preserve">TOTAL </t>
  </si>
  <si>
    <t>Telefono fijo, Internet</t>
  </si>
  <si>
    <t>Útiles de escritorio</t>
  </si>
  <si>
    <t>Artículos de limpieza</t>
  </si>
  <si>
    <t>Catalogo</t>
  </si>
  <si>
    <t>Servicios de contabilidad</t>
  </si>
  <si>
    <t>Comprobantes de pago</t>
  </si>
  <si>
    <t xml:space="preserve">GASTOS INDIRECTOS </t>
  </si>
  <si>
    <t>Ciento</t>
  </si>
  <si>
    <t xml:space="preserve">Tripticos </t>
  </si>
  <si>
    <t xml:space="preserve">Tarjetas </t>
  </si>
  <si>
    <t>Talonario</t>
  </si>
  <si>
    <t>Mi banco a tasa preferencial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</si>
  <si>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</si>
  <si>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</si>
  <si>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</si>
  <si>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</si>
  <si>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</si>
  <si>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</si>
  <si>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</si>
  <si>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</si>
  <si>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</si>
  <si>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</si>
  <si>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</si>
  <si>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</si>
  <si>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Set de Cama</t>
  </si>
  <si>
    <t>2 planchas</t>
  </si>
  <si>
    <t>10 mtrs</t>
  </si>
  <si>
    <t>2 juegos</t>
  </si>
  <si>
    <t>4 unidad</t>
  </si>
  <si>
    <t>100 unidades</t>
  </si>
  <si>
    <t>0.5 planchas</t>
  </si>
  <si>
    <t>25 unidades</t>
  </si>
  <si>
    <t>8 mtrs</t>
  </si>
  <si>
    <t>Estante</t>
  </si>
  <si>
    <t>COK mensual</t>
  </si>
  <si>
    <t>COK anual</t>
  </si>
  <si>
    <t>Cantidad</t>
  </si>
  <si>
    <t>Costo</t>
  </si>
  <si>
    <t>Costo total</t>
  </si>
  <si>
    <t>Repostero de 2m</t>
  </si>
  <si>
    <t>P. U. Venta</t>
  </si>
  <si>
    <t>Precio Costo</t>
  </si>
  <si>
    <t>Ganancia</t>
  </si>
  <si>
    <t>Gratificaciones</t>
  </si>
  <si>
    <t>CUENTAS DE LOS ESTADOS FINANCIEROS</t>
  </si>
  <si>
    <t>No depreciable</t>
  </si>
  <si>
    <t>F.A.</t>
  </si>
  <si>
    <t>INGRESOS NETOS</t>
  </si>
  <si>
    <t>TIRE</t>
  </si>
  <si>
    <t>VANE</t>
  </si>
  <si>
    <t>TIRE mensual</t>
  </si>
  <si>
    <t>VALOR ACTUAL NETO ECONOMICO</t>
  </si>
  <si>
    <t>VALOR ACTUAL NETO FINANCIERO</t>
  </si>
  <si>
    <t>TIRF mensual</t>
  </si>
  <si>
    <r>
      <rPr>
        <b/>
        <sz val="11"/>
        <color indexed="8"/>
        <rFont val="Calibri"/>
        <family val="2"/>
      </rPr>
      <t>COK:</t>
    </r>
    <r>
      <rPr>
        <sz val="11"/>
        <color theme="1"/>
        <rFont val="Calibri"/>
        <family val="2"/>
      </rPr>
      <t xml:space="preserve"> Costo de Oportunidad del Capital</t>
    </r>
  </si>
  <si>
    <t>FLUJO DE CAJA ECON FINANC</t>
  </si>
  <si>
    <t>VAN TIR VANF TIRF</t>
  </si>
  <si>
    <t>CUADROS DE RATIOS</t>
  </si>
  <si>
    <t>ELABORACIÓN PRECIO</t>
  </si>
  <si>
    <t>COSTO DE OPORTUNIDAD DE CAPITAL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</si>
</sst>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.00"/>
    <numFmt numFmtId="171" formatCode="0.000"/>
    <numFmt numFmtId="172" formatCode="0.0000"/>
    <numFmt numFmtId="173" formatCode="0.0%"/>
    <numFmt numFmtId="174" formatCode="0.0"/>
    <numFmt numFmtId="175" formatCode="0.00000E+00"/>
    <numFmt numFmtId="176" formatCode="m/d/yyyy"/>
    <numFmt numFmtId="177" formatCode="0.00000"/>
    <numFmt numFmtId="178" formatCode="0.000000"/>
    <numFmt numFmtId="179" formatCode="_ * #,##0.0_ ;_ * \-#,##0.0_ ;_ * &quot;-&quot;??_ ;_ @_ "/>
    <numFmt numFmtId="180" formatCode="_ * #,##0_ ;_ * \-#,##0_ ;_ * &quot;-&quot;??_ ;_ @_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3"/>
      <name val="Calibri"/>
      <family val="2"/>
    </font>
    <font>
      <u val="single"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6"/>
      <color indexed="9"/>
      <name val="Arial"/>
      <family val="2"/>
    </font>
    <font>
      <b/>
      <i/>
      <sz val="20"/>
      <color indexed="60"/>
      <name val="Arial"/>
      <family val="2"/>
    </font>
    <font>
      <b/>
      <sz val="16"/>
      <color indexed="60"/>
      <name val="Arial"/>
      <family val="2"/>
    </font>
    <font>
      <b/>
      <sz val="18"/>
      <color indexed="56"/>
      <name val="Arial"/>
      <family val="2"/>
    </font>
    <font>
      <b/>
      <i/>
      <sz val="18"/>
      <color indexed="56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i/>
      <sz val="9"/>
      <color indexed="8"/>
      <name val="Arial"/>
      <family val="2"/>
    </font>
    <font>
      <b/>
      <i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9"/>
      <color indexed="10"/>
      <name val="Arial"/>
      <family val="2"/>
    </font>
    <font>
      <sz val="8"/>
      <color indexed="30"/>
      <name val="Arial"/>
      <family val="2"/>
    </font>
    <font>
      <sz val="16"/>
      <color indexed="13"/>
      <name val="Arial"/>
      <family val="2"/>
    </font>
    <font>
      <b/>
      <sz val="12"/>
      <color indexed="8"/>
      <name val="Arial"/>
      <family val="2"/>
    </font>
    <font>
      <sz val="10"/>
      <color indexed="8"/>
      <name val="Book Antiqua"/>
      <family val="1"/>
    </font>
    <font>
      <b/>
      <sz val="18"/>
      <color indexed="8"/>
      <name val="Book Antiqua"/>
      <family val="1"/>
    </font>
    <font>
      <sz val="9.2"/>
      <color indexed="8"/>
      <name val="Book Antiqu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6"/>
      <color theme="0"/>
      <name val="Arial"/>
      <family val="2"/>
    </font>
    <font>
      <b/>
      <i/>
      <sz val="20"/>
      <color rgb="FFC00000"/>
      <name val="Arial"/>
      <family val="2"/>
    </font>
    <font>
      <b/>
      <sz val="16"/>
      <color rgb="FFC00000"/>
      <name val="Arial"/>
      <family val="2"/>
    </font>
    <font>
      <b/>
      <sz val="18"/>
      <color rgb="FF002060"/>
      <name val="Arial"/>
      <family val="2"/>
    </font>
    <font>
      <b/>
      <i/>
      <sz val="18"/>
      <color rgb="FF00206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b/>
      <i/>
      <sz val="18"/>
      <color rgb="FFC00000"/>
      <name val="Arial"/>
      <family val="2"/>
    </font>
    <font>
      <b/>
      <sz val="18"/>
      <color theme="0"/>
      <name val="Arial"/>
      <family val="2"/>
    </font>
    <font>
      <b/>
      <sz val="9"/>
      <color rgb="FFFF0000"/>
      <name val="Arial"/>
      <family val="2"/>
    </font>
    <font>
      <sz val="8"/>
      <color rgb="FF0070C0"/>
      <name val="Arial"/>
      <family val="2"/>
    </font>
    <font>
      <sz val="16"/>
      <color rgb="FFFFFF00"/>
      <name val="Arial"/>
      <family val="2"/>
    </font>
    <font>
      <b/>
      <sz val="12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4998998641967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468">
    <xf numFmtId="0" fontId="0" fillId="0" borderId="0" xfId="0" applyFont="1" applyAlignment="1">
      <alignment/>
    </xf>
    <xf numFmtId="0" fontId="67" fillId="0" borderId="10" xfId="0" applyFont="1" applyBorder="1" applyAlignment="1">
      <alignment vertical="center"/>
    </xf>
    <xf numFmtId="0" fontId="68" fillId="0" borderId="0" xfId="0" applyFont="1" applyAlignment="1">
      <alignment/>
    </xf>
    <xf numFmtId="0" fontId="5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33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left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170" fontId="6" fillId="0" borderId="10" xfId="0" applyNumberFormat="1" applyFont="1" applyBorder="1" applyAlignment="1">
      <alignment horizontal="right"/>
    </xf>
    <xf numFmtId="9" fontId="6" fillId="0" borderId="10" xfId="55" applyFont="1" applyBorder="1" applyAlignment="1">
      <alignment horizontal="right"/>
    </xf>
    <xf numFmtId="0" fontId="69" fillId="0" borderId="10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0" xfId="0" applyFont="1" applyBorder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69" fillId="35" borderId="10" xfId="0" applyFont="1" applyFill="1" applyBorder="1" applyAlignment="1">
      <alignment/>
    </xf>
    <xf numFmtId="0" fontId="67" fillId="24" borderId="10" xfId="0" applyFont="1" applyFill="1" applyBorder="1" applyAlignment="1">
      <alignment horizontal="center" vertical="center" wrapText="1"/>
    </xf>
    <xf numFmtId="0" fontId="70" fillId="24" borderId="10" xfId="0" applyFont="1" applyFill="1" applyBorder="1" applyAlignment="1">
      <alignment horizontal="left" vertical="center" wrapText="1"/>
    </xf>
    <xf numFmtId="3" fontId="67" fillId="24" borderId="10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right" vertical="center"/>
    </xf>
    <xf numFmtId="0" fontId="5" fillId="36" borderId="13" xfId="0" applyFont="1" applyFill="1" applyBorder="1" applyAlignment="1">
      <alignment horizontal="left"/>
    </xf>
    <xf numFmtId="0" fontId="6" fillId="36" borderId="13" xfId="0" applyFont="1" applyFill="1" applyBorder="1" applyAlignment="1">
      <alignment/>
    </xf>
    <xf numFmtId="0" fontId="5" fillId="36" borderId="0" xfId="0" applyFont="1" applyFill="1" applyBorder="1" applyAlignment="1">
      <alignment horizontal="left"/>
    </xf>
    <xf numFmtId="0" fontId="6" fillId="36" borderId="0" xfId="0" applyFont="1" applyFill="1" applyAlignment="1">
      <alignment/>
    </xf>
    <xf numFmtId="0" fontId="5" fillId="36" borderId="0" xfId="0" applyFont="1" applyFill="1" applyBorder="1" applyAlignment="1">
      <alignment horizontal="center"/>
    </xf>
    <xf numFmtId="14" fontId="5" fillId="37" borderId="10" xfId="55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Continuous"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/>
    </xf>
    <xf numFmtId="173" fontId="6" fillId="36" borderId="13" xfId="0" applyNumberFormat="1" applyFont="1" applyFill="1" applyBorder="1" applyAlignment="1">
      <alignment horizontal="center"/>
    </xf>
    <xf numFmtId="173" fontId="6" fillId="36" borderId="13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left" vertical="center" wrapText="1"/>
    </xf>
    <xf numFmtId="2" fontId="69" fillId="8" borderId="10" xfId="0" applyNumberFormat="1" applyFont="1" applyFill="1" applyBorder="1" applyAlignment="1">
      <alignment horizontal="right"/>
    </xf>
    <xf numFmtId="0" fontId="69" fillId="8" borderId="10" xfId="0" applyFont="1" applyFill="1" applyBorder="1" applyAlignment="1">
      <alignment horizontal="center"/>
    </xf>
    <xf numFmtId="2" fontId="69" fillId="0" borderId="10" xfId="0" applyNumberFormat="1" applyFont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2" fontId="71" fillId="8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69" fillId="38" borderId="10" xfId="0" applyFont="1" applyFill="1" applyBorder="1" applyAlignment="1">
      <alignment horizontal="center" vertical="center"/>
    </xf>
    <xf numFmtId="0" fontId="69" fillId="38" borderId="1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/>
    </xf>
    <xf numFmtId="0" fontId="70" fillId="39" borderId="10" xfId="0" applyFont="1" applyFill="1" applyBorder="1" applyAlignment="1">
      <alignment horizontal="center" vertical="center"/>
    </xf>
    <xf numFmtId="0" fontId="70" fillId="39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/>
    </xf>
    <xf numFmtId="170" fontId="71" fillId="33" borderId="10" xfId="0" applyNumberFormat="1" applyFont="1" applyFill="1" applyBorder="1" applyAlignment="1">
      <alignment/>
    </xf>
    <xf numFmtId="170" fontId="71" fillId="33" borderId="10" xfId="0" applyNumberFormat="1" applyFont="1" applyFill="1" applyBorder="1" applyAlignment="1">
      <alignment horizontal="center"/>
    </xf>
    <xf numFmtId="0" fontId="71" fillId="33" borderId="10" xfId="0" applyNumberFormat="1" applyFont="1" applyFill="1" applyBorder="1" applyAlignment="1">
      <alignment horizontal="center"/>
    </xf>
    <xf numFmtId="0" fontId="72" fillId="0" borderId="0" xfId="0" applyFont="1" applyAlignment="1">
      <alignment/>
    </xf>
    <xf numFmtId="170" fontId="7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69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0" fontId="5" fillId="11" borderId="14" xfId="0" applyFont="1" applyFill="1" applyBorder="1" applyAlignment="1">
      <alignment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9" fillId="41" borderId="12" xfId="0" applyFont="1" applyFill="1" applyBorder="1" applyAlignment="1">
      <alignment horizontal="center"/>
    </xf>
    <xf numFmtId="0" fontId="69" fillId="0" borderId="12" xfId="0" applyFont="1" applyBorder="1" applyAlignment="1">
      <alignment horizontal="center"/>
    </xf>
    <xf numFmtId="3" fontId="6" fillId="35" borderId="19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9" fillId="41" borderId="10" xfId="0" applyFont="1" applyFill="1" applyBorder="1" applyAlignment="1">
      <alignment horizontal="center"/>
    </xf>
    <xf numFmtId="3" fontId="6" fillId="35" borderId="20" xfId="0" applyNumberFormat="1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center"/>
    </xf>
    <xf numFmtId="0" fontId="69" fillId="41" borderId="15" xfId="0" applyFont="1" applyFill="1" applyBorder="1" applyAlignment="1">
      <alignment horizontal="center"/>
    </xf>
    <xf numFmtId="3" fontId="69" fillId="0" borderId="15" xfId="0" applyNumberFormat="1" applyFont="1" applyBorder="1" applyAlignment="1">
      <alignment horizontal="center"/>
    </xf>
    <xf numFmtId="3" fontId="69" fillId="0" borderId="16" xfId="0" applyNumberFormat="1" applyFont="1" applyBorder="1" applyAlignment="1">
      <alignment horizontal="center"/>
    </xf>
    <xf numFmtId="3" fontId="6" fillId="35" borderId="17" xfId="0" applyNumberFormat="1" applyFont="1" applyFill="1" applyBorder="1" applyAlignment="1">
      <alignment horizontal="center" vertical="center" wrapText="1"/>
    </xf>
    <xf numFmtId="170" fontId="69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69" fillId="0" borderId="21" xfId="0" applyFont="1" applyBorder="1" applyAlignment="1">
      <alignment horizontal="right"/>
    </xf>
    <xf numFmtId="0" fontId="69" fillId="0" borderId="22" xfId="0" applyFont="1" applyBorder="1" applyAlignment="1">
      <alignment/>
    </xf>
    <xf numFmtId="175" fontId="69" fillId="0" borderId="23" xfId="0" applyNumberFormat="1" applyFont="1" applyBorder="1" applyAlignment="1">
      <alignment/>
    </xf>
    <xf numFmtId="0" fontId="71" fillId="0" borderId="21" xfId="0" applyFont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170" fontId="69" fillId="0" borderId="10" xfId="0" applyNumberFormat="1" applyFont="1" applyBorder="1" applyAlignment="1">
      <alignment/>
    </xf>
    <xf numFmtId="9" fontId="69" fillId="0" borderId="10" xfId="0" applyNumberFormat="1" applyFont="1" applyBorder="1" applyAlignment="1">
      <alignment/>
    </xf>
    <xf numFmtId="9" fontId="71" fillId="33" borderId="10" xfId="0" applyNumberFormat="1" applyFont="1" applyFill="1" applyBorder="1" applyAlignment="1">
      <alignment/>
    </xf>
    <xf numFmtId="170" fontId="69" fillId="0" borderId="0" xfId="0" applyNumberFormat="1" applyFont="1" applyAlignment="1">
      <alignment/>
    </xf>
    <xf numFmtId="174" fontId="69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170" fontId="5" fillId="33" borderId="10" xfId="0" applyNumberFormat="1" applyFont="1" applyFill="1" applyBorder="1" applyAlignment="1">
      <alignment horizontal="right"/>
    </xf>
    <xf numFmtId="0" fontId="69" fillId="0" borderId="1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17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73" fillId="0" borderId="24" xfId="0" applyFont="1" applyFill="1" applyBorder="1" applyAlignment="1">
      <alignment horizontal="left"/>
    </xf>
    <xf numFmtId="0" fontId="75" fillId="0" borderId="24" xfId="0" applyFont="1" applyFill="1" applyBorder="1" applyAlignment="1">
      <alignment horizontal="left"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69" fillId="0" borderId="10" xfId="0" applyFont="1" applyFill="1" applyBorder="1" applyAlignment="1">
      <alignment horizontal="left" indent="1"/>
    </xf>
    <xf numFmtId="43" fontId="69" fillId="0" borderId="10" xfId="49" applyFont="1" applyBorder="1" applyAlignment="1">
      <alignment horizontal="center"/>
    </xf>
    <xf numFmtId="43" fontId="69" fillId="0" borderId="10" xfId="49" applyFont="1" applyFill="1" applyBorder="1" applyAlignment="1">
      <alignment horizontal="center"/>
    </xf>
    <xf numFmtId="43" fontId="69" fillId="8" borderId="10" xfId="49" applyFont="1" applyFill="1" applyBorder="1" applyAlignment="1">
      <alignment horizontal="right"/>
    </xf>
    <xf numFmtId="43" fontId="5" fillId="8" borderId="10" xfId="49" applyFont="1" applyFill="1" applyBorder="1" applyAlignment="1">
      <alignment horizontal="center"/>
    </xf>
    <xf numFmtId="43" fontId="5" fillId="33" borderId="10" xfId="49" applyFont="1" applyFill="1" applyBorder="1" applyAlignment="1">
      <alignment horizontal="center"/>
    </xf>
    <xf numFmtId="170" fontId="69" fillId="0" borderId="10" xfId="0" applyNumberFormat="1" applyFont="1" applyBorder="1" applyAlignment="1">
      <alignment horizontal="right"/>
    </xf>
    <xf numFmtId="170" fontId="6" fillId="0" borderId="10" xfId="0" applyNumberFormat="1" applyFont="1" applyBorder="1" applyAlignment="1">
      <alignment horizontal="right" vertical="center"/>
    </xf>
    <xf numFmtId="0" fontId="69" fillId="0" borderId="10" xfId="0" applyFont="1" applyBorder="1" applyAlignment="1">
      <alignment horizontal="right"/>
    </xf>
    <xf numFmtId="0" fontId="2" fillId="33" borderId="25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/>
    </xf>
    <xf numFmtId="0" fontId="5" fillId="33" borderId="25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5" fillId="1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8" fillId="0" borderId="0" xfId="0" applyFont="1" applyAlignment="1">
      <alignment/>
    </xf>
    <xf numFmtId="0" fontId="2" fillId="14" borderId="10" xfId="0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79" fillId="0" borderId="0" xfId="0" applyFont="1" applyAlignment="1">
      <alignment/>
    </xf>
    <xf numFmtId="14" fontId="2" fillId="33" borderId="25" xfId="0" applyNumberFormat="1" applyFont="1" applyFill="1" applyBorder="1" applyAlignment="1">
      <alignment horizontal="center" vertical="center" wrapText="1"/>
    </xf>
    <xf numFmtId="170" fontId="80" fillId="0" borderId="0" xfId="0" applyNumberFormat="1" applyFont="1" applyAlignment="1">
      <alignment/>
    </xf>
    <xf numFmtId="14" fontId="5" fillId="33" borderId="25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5" fillId="42" borderId="21" xfId="0" applyFont="1" applyFill="1" applyBorder="1" applyAlignment="1">
      <alignment horizontal="center" vertical="center"/>
    </xf>
    <xf numFmtId="0" fontId="5" fillId="42" borderId="26" xfId="0" applyFont="1" applyFill="1" applyBorder="1" applyAlignment="1">
      <alignment vertical="center"/>
    </xf>
    <xf numFmtId="0" fontId="5" fillId="42" borderId="27" xfId="0" applyFont="1" applyFill="1" applyBorder="1" applyAlignment="1">
      <alignment vertical="center"/>
    </xf>
    <xf numFmtId="0" fontId="5" fillId="42" borderId="27" xfId="0" applyFont="1" applyFill="1" applyBorder="1" applyAlignment="1">
      <alignment horizontal="center" vertical="center"/>
    </xf>
    <xf numFmtId="0" fontId="5" fillId="42" borderId="28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42" borderId="10" xfId="0" applyFont="1" applyFill="1" applyBorder="1" applyAlignment="1">
      <alignment horizontal="center" vertical="center"/>
    </xf>
    <xf numFmtId="0" fontId="5" fillId="42" borderId="25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vertical="center"/>
    </xf>
    <xf numFmtId="0" fontId="5" fillId="8" borderId="2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23" borderId="21" xfId="0" applyFont="1" applyFill="1" applyBorder="1" applyAlignment="1">
      <alignment horizontal="center" vertical="center"/>
    </xf>
    <xf numFmtId="0" fontId="5" fillId="23" borderId="21" xfId="0" applyFont="1" applyFill="1" applyBorder="1" applyAlignment="1">
      <alignment vertical="center"/>
    </xf>
    <xf numFmtId="0" fontId="5" fillId="23" borderId="22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2" fontId="69" fillId="0" borderId="10" xfId="0" applyNumberFormat="1" applyFont="1" applyBorder="1" applyAlignment="1">
      <alignment/>
    </xf>
    <xf numFmtId="10" fontId="5" fillId="33" borderId="10" xfId="0" applyNumberFormat="1" applyFont="1" applyFill="1" applyBorder="1" applyAlignment="1">
      <alignment/>
    </xf>
    <xf numFmtId="0" fontId="5" fillId="4" borderId="10" xfId="0" applyFont="1" applyFill="1" applyBorder="1" applyAlignment="1">
      <alignment horizontal="left"/>
    </xf>
    <xf numFmtId="6" fontId="71" fillId="4" borderId="10" xfId="0" applyNumberFormat="1" applyFont="1" applyFill="1" applyBorder="1" applyAlignment="1">
      <alignment/>
    </xf>
    <xf numFmtId="8" fontId="69" fillId="0" borderId="0" xfId="0" applyNumberFormat="1" applyFont="1" applyAlignment="1">
      <alignment/>
    </xf>
    <xf numFmtId="10" fontId="71" fillId="33" borderId="10" xfId="0" applyNumberFormat="1" applyFont="1" applyFill="1" applyBorder="1" applyAlignment="1">
      <alignment/>
    </xf>
    <xf numFmtId="0" fontId="71" fillId="4" borderId="10" xfId="0" applyFont="1" applyFill="1" applyBorder="1" applyAlignment="1">
      <alignment/>
    </xf>
    <xf numFmtId="10" fontId="69" fillId="0" borderId="0" xfId="0" applyNumberFormat="1" applyFont="1" applyAlignment="1">
      <alignment/>
    </xf>
    <xf numFmtId="9" fontId="69" fillId="0" borderId="0" xfId="0" applyNumberFormat="1" applyFont="1" applyAlignment="1">
      <alignment/>
    </xf>
    <xf numFmtId="0" fontId="5" fillId="0" borderId="0" xfId="0" applyFont="1" applyAlignment="1">
      <alignment/>
    </xf>
    <xf numFmtId="0" fontId="69" fillId="33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171" fontId="5" fillId="33" borderId="10" xfId="0" applyNumberFormat="1" applyFont="1" applyFill="1" applyBorder="1" applyAlignment="1">
      <alignment horizontal="right"/>
    </xf>
    <xf numFmtId="0" fontId="69" fillId="0" borderId="21" xfId="0" applyFont="1" applyBorder="1" applyAlignment="1">
      <alignment/>
    </xf>
    <xf numFmtId="1" fontId="69" fillId="41" borderId="10" xfId="0" applyNumberFormat="1" applyFont="1" applyFill="1" applyBorder="1" applyAlignment="1">
      <alignment horizontal="center"/>
    </xf>
    <xf numFmtId="1" fontId="69" fillId="0" borderId="0" xfId="0" applyNumberFormat="1" applyFont="1" applyAlignment="1">
      <alignment/>
    </xf>
    <xf numFmtId="3" fontId="69" fillId="0" borderId="10" xfId="0" applyNumberFormat="1" applyFont="1" applyBorder="1" applyAlignment="1">
      <alignment horizontal="center"/>
    </xf>
    <xf numFmtId="1" fontId="71" fillId="0" borderId="10" xfId="0" applyNumberFormat="1" applyFont="1" applyBorder="1" applyAlignment="1">
      <alignment horizontal="center"/>
    </xf>
    <xf numFmtId="2" fontId="71" fillId="0" borderId="0" xfId="0" applyNumberFormat="1" applyFont="1" applyBorder="1" applyAlignment="1">
      <alignment horizontal="center"/>
    </xf>
    <xf numFmtId="1" fontId="71" fillId="0" borderId="0" xfId="0" applyNumberFormat="1" applyFont="1" applyAlignment="1">
      <alignment/>
    </xf>
    <xf numFmtId="3" fontId="71" fillId="0" borderId="10" xfId="0" applyNumberFormat="1" applyFont="1" applyBorder="1" applyAlignment="1">
      <alignment horizontal="center"/>
    </xf>
    <xf numFmtId="2" fontId="69" fillId="0" borderId="0" xfId="0" applyNumberFormat="1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2" fontId="71" fillId="0" borderId="0" xfId="0" applyNumberFormat="1" applyFont="1" applyAlignment="1">
      <alignment/>
    </xf>
    <xf numFmtId="0" fontId="69" fillId="0" borderId="29" xfId="0" applyFont="1" applyBorder="1" applyAlignment="1">
      <alignment/>
    </xf>
    <xf numFmtId="0" fontId="69" fillId="0" borderId="0" xfId="0" applyFont="1" applyAlignment="1">
      <alignment horizontal="center" vertical="center"/>
    </xf>
    <xf numFmtId="0" fontId="71" fillId="33" borderId="30" xfId="0" applyFont="1" applyFill="1" applyBorder="1" applyAlignment="1">
      <alignment/>
    </xf>
    <xf numFmtId="0" fontId="71" fillId="33" borderId="31" xfId="0" applyFont="1" applyFill="1" applyBorder="1" applyAlignment="1">
      <alignment horizontal="center" vertical="center"/>
    </xf>
    <xf numFmtId="0" fontId="69" fillId="33" borderId="32" xfId="0" applyFont="1" applyFill="1" applyBorder="1" applyAlignment="1">
      <alignment horizontal="center" vertical="center"/>
    </xf>
    <xf numFmtId="2" fontId="69" fillId="33" borderId="32" xfId="0" applyNumberFormat="1" applyFont="1" applyFill="1" applyBorder="1" applyAlignment="1">
      <alignment horizontal="center" vertical="center"/>
    </xf>
    <xf numFmtId="2" fontId="69" fillId="33" borderId="33" xfId="0" applyNumberFormat="1" applyFont="1" applyFill="1" applyBorder="1" applyAlignment="1">
      <alignment horizontal="center" vertical="center"/>
    </xf>
    <xf numFmtId="2" fontId="69" fillId="33" borderId="34" xfId="0" applyNumberFormat="1" applyFont="1" applyFill="1" applyBorder="1" applyAlignment="1">
      <alignment horizontal="center" vertical="center"/>
    </xf>
    <xf numFmtId="2" fontId="69" fillId="33" borderId="35" xfId="0" applyNumberFormat="1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/>
    </xf>
    <xf numFmtId="0" fontId="71" fillId="33" borderId="23" xfId="0" applyFont="1" applyFill="1" applyBorder="1" applyAlignment="1">
      <alignment horizontal="center" vertical="center" wrapText="1"/>
    </xf>
    <xf numFmtId="14" fontId="2" fillId="33" borderId="36" xfId="0" applyNumberFormat="1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/>
    </xf>
    <xf numFmtId="170" fontId="69" fillId="0" borderId="10" xfId="0" applyNumberFormat="1" applyFont="1" applyBorder="1" applyAlignment="1">
      <alignment horizontal="center" vertical="center"/>
    </xf>
    <xf numFmtId="170" fontId="69" fillId="0" borderId="37" xfId="0" applyNumberFormat="1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0" borderId="38" xfId="0" applyFont="1" applyBorder="1" applyAlignment="1">
      <alignment/>
    </xf>
    <xf numFmtId="170" fontId="69" fillId="0" borderId="39" xfId="0" applyNumberFormat="1" applyFont="1" applyBorder="1" applyAlignment="1">
      <alignment horizontal="center" vertical="center"/>
    </xf>
    <xf numFmtId="170" fontId="69" fillId="0" borderId="40" xfId="0" applyNumberFormat="1" applyFont="1" applyBorder="1" applyAlignment="1">
      <alignment horizontal="center" vertical="center"/>
    </xf>
    <xf numFmtId="0" fontId="71" fillId="33" borderId="17" xfId="0" applyFont="1" applyFill="1" applyBorder="1" applyAlignment="1">
      <alignment horizontal="left" vertical="center" wrapText="1"/>
    </xf>
    <xf numFmtId="14" fontId="2" fillId="33" borderId="41" xfId="0" applyNumberFormat="1" applyFont="1" applyFill="1" applyBorder="1" applyAlignment="1">
      <alignment horizontal="center" vertical="center" wrapText="1"/>
    </xf>
    <xf numFmtId="14" fontId="2" fillId="33" borderId="42" xfId="0" applyNumberFormat="1" applyFont="1" applyFill="1" applyBorder="1" applyAlignment="1">
      <alignment horizontal="center" vertical="center" wrapText="1"/>
    </xf>
    <xf numFmtId="14" fontId="2" fillId="33" borderId="43" xfId="0" applyNumberFormat="1" applyFont="1" applyFill="1" applyBorder="1" applyAlignment="1">
      <alignment horizontal="center" vertical="center" wrapText="1"/>
    </xf>
    <xf numFmtId="0" fontId="71" fillId="0" borderId="44" xfId="0" applyFont="1" applyBorder="1" applyAlignment="1">
      <alignment wrapText="1"/>
    </xf>
    <xf numFmtId="2" fontId="69" fillId="0" borderId="45" xfId="0" applyNumberFormat="1" applyFont="1" applyBorder="1" applyAlignment="1">
      <alignment horizontal="center" vertical="center"/>
    </xf>
    <xf numFmtId="2" fontId="69" fillId="0" borderId="46" xfId="0" applyNumberFormat="1" applyFont="1" applyBorder="1" applyAlignment="1">
      <alignment horizontal="center" vertical="center"/>
    </xf>
    <xf numFmtId="2" fontId="69" fillId="35" borderId="46" xfId="0" applyNumberFormat="1" applyFont="1" applyFill="1" applyBorder="1" applyAlignment="1">
      <alignment horizontal="center" vertical="center"/>
    </xf>
    <xf numFmtId="2" fontId="69" fillId="35" borderId="47" xfId="0" applyNumberFormat="1" applyFont="1" applyFill="1" applyBorder="1" applyAlignment="1">
      <alignment horizontal="center" vertical="center"/>
    </xf>
    <xf numFmtId="0" fontId="71" fillId="0" borderId="48" xfId="0" applyFont="1" applyBorder="1" applyAlignment="1">
      <alignment wrapText="1"/>
    </xf>
    <xf numFmtId="2" fontId="69" fillId="0" borderId="49" xfId="0" applyNumberFormat="1" applyFont="1" applyBorder="1" applyAlignment="1">
      <alignment horizontal="center" vertical="center"/>
    </xf>
    <xf numFmtId="2" fontId="69" fillId="0" borderId="0" xfId="0" applyNumberFormat="1" applyFont="1" applyBorder="1" applyAlignment="1">
      <alignment horizontal="center" vertical="center"/>
    </xf>
    <xf numFmtId="2" fontId="69" fillId="35" borderId="0" xfId="0" applyNumberFormat="1" applyFont="1" applyFill="1" applyBorder="1" applyAlignment="1">
      <alignment horizontal="center" vertical="center"/>
    </xf>
    <xf numFmtId="2" fontId="69" fillId="35" borderId="50" xfId="0" applyNumberFormat="1" applyFont="1" applyFill="1" applyBorder="1" applyAlignment="1">
      <alignment horizontal="center" vertical="center"/>
    </xf>
    <xf numFmtId="0" fontId="71" fillId="41" borderId="48" xfId="0" applyFont="1" applyFill="1" applyBorder="1" applyAlignment="1">
      <alignment wrapText="1"/>
    </xf>
    <xf numFmtId="0" fontId="71" fillId="0" borderId="51" xfId="0" applyFont="1" applyBorder="1" applyAlignment="1">
      <alignment wrapText="1"/>
    </xf>
    <xf numFmtId="1" fontId="69" fillId="0" borderId="52" xfId="0" applyNumberFormat="1" applyFont="1" applyBorder="1" applyAlignment="1">
      <alignment horizontal="center" vertical="center"/>
    </xf>
    <xf numFmtId="1" fontId="69" fillId="0" borderId="53" xfId="0" applyNumberFormat="1" applyFont="1" applyBorder="1" applyAlignment="1">
      <alignment horizontal="center" vertical="center"/>
    </xf>
    <xf numFmtId="1" fontId="69" fillId="35" borderId="53" xfId="0" applyNumberFormat="1" applyFont="1" applyFill="1" applyBorder="1" applyAlignment="1">
      <alignment horizontal="center" vertical="center"/>
    </xf>
    <xf numFmtId="1" fontId="69" fillId="35" borderId="54" xfId="0" applyNumberFormat="1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left" vertical="center"/>
    </xf>
    <xf numFmtId="2" fontId="69" fillId="0" borderId="47" xfId="0" applyNumberFormat="1" applyFont="1" applyBorder="1" applyAlignment="1">
      <alignment horizontal="center" vertical="center"/>
    </xf>
    <xf numFmtId="2" fontId="69" fillId="0" borderId="50" xfId="0" applyNumberFormat="1" applyFont="1" applyBorder="1" applyAlignment="1">
      <alignment horizontal="center" vertical="center"/>
    </xf>
    <xf numFmtId="0" fontId="71" fillId="41" borderId="51" xfId="0" applyFont="1" applyFill="1" applyBorder="1" applyAlignment="1">
      <alignment wrapText="1"/>
    </xf>
    <xf numFmtId="2" fontId="69" fillId="0" borderId="52" xfId="0" applyNumberFormat="1" applyFont="1" applyBorder="1" applyAlignment="1">
      <alignment horizontal="center" vertical="center"/>
    </xf>
    <xf numFmtId="2" fontId="69" fillId="0" borderId="53" xfId="0" applyNumberFormat="1" applyFont="1" applyBorder="1" applyAlignment="1">
      <alignment horizontal="center" vertical="center"/>
    </xf>
    <xf numFmtId="2" fontId="69" fillId="0" borderId="54" xfId="0" applyNumberFormat="1" applyFont="1" applyBorder="1" applyAlignment="1">
      <alignment horizontal="center" vertical="center"/>
    </xf>
    <xf numFmtId="171" fontId="69" fillId="0" borderId="0" xfId="0" applyNumberFormat="1" applyFont="1" applyAlignment="1">
      <alignment horizontal="center" vertical="center"/>
    </xf>
    <xf numFmtId="0" fontId="71" fillId="33" borderId="17" xfId="0" applyFont="1" applyFill="1" applyBorder="1" applyAlignment="1">
      <alignment/>
    </xf>
    <xf numFmtId="0" fontId="71" fillId="41" borderId="44" xfId="0" applyFont="1" applyFill="1" applyBorder="1" applyAlignment="1">
      <alignment wrapText="1"/>
    </xf>
    <xf numFmtId="2" fontId="69" fillId="0" borderId="0" xfId="0" applyNumberFormat="1" applyFont="1" applyAlignment="1">
      <alignment horizontal="center" vertical="center"/>
    </xf>
    <xf numFmtId="2" fontId="69" fillId="35" borderId="53" xfId="0" applyNumberFormat="1" applyFont="1" applyFill="1" applyBorder="1" applyAlignment="1">
      <alignment horizontal="center" vertical="center"/>
    </xf>
    <xf numFmtId="2" fontId="69" fillId="35" borderId="54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/>
    </xf>
    <xf numFmtId="0" fontId="81" fillId="0" borderId="10" xfId="0" applyFont="1" applyFill="1" applyBorder="1" applyAlignment="1">
      <alignment/>
    </xf>
    <xf numFmtId="0" fontId="81" fillId="0" borderId="55" xfId="0" applyFont="1" applyFill="1" applyBorder="1" applyAlignment="1">
      <alignment/>
    </xf>
    <xf numFmtId="170" fontId="71" fillId="0" borderId="0" xfId="0" applyNumberFormat="1" applyFont="1" applyAlignment="1">
      <alignment/>
    </xf>
    <xf numFmtId="0" fontId="69" fillId="0" borderId="10" xfId="0" applyFont="1" applyFill="1" applyBorder="1" applyAlignment="1">
      <alignment horizontal="left" indent="3"/>
    </xf>
    <xf numFmtId="43" fontId="69" fillId="0" borderId="10" xfId="49" applyFont="1" applyBorder="1" applyAlignment="1">
      <alignment/>
    </xf>
    <xf numFmtId="0" fontId="2" fillId="0" borderId="0" xfId="0" applyFont="1" applyAlignment="1">
      <alignment horizontal="right"/>
    </xf>
    <xf numFmtId="2" fontId="69" fillId="0" borderId="10" xfId="0" applyNumberFormat="1" applyFont="1" applyBorder="1" applyAlignment="1">
      <alignment horizontal="left" vertical="center" wrapText="1"/>
    </xf>
    <xf numFmtId="10" fontId="71" fillId="0" borderId="23" xfId="55" applyNumberFormat="1" applyFont="1" applyBorder="1" applyAlignment="1">
      <alignment/>
    </xf>
    <xf numFmtId="10" fontId="69" fillId="33" borderId="10" xfId="0" applyNumberFormat="1" applyFont="1" applyFill="1" applyBorder="1" applyAlignment="1">
      <alignment horizontal="center" vertical="center" wrapText="1"/>
    </xf>
    <xf numFmtId="2" fontId="69" fillId="0" borderId="23" xfId="0" applyNumberFormat="1" applyFont="1" applyBorder="1" applyAlignment="1">
      <alignment horizontal="right"/>
    </xf>
    <xf numFmtId="2" fontId="69" fillId="0" borderId="10" xfId="0" applyNumberFormat="1" applyFont="1" applyFill="1" applyBorder="1" applyAlignment="1">
      <alignment horizontal="right"/>
    </xf>
    <xf numFmtId="2" fontId="69" fillId="0" borderId="10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>
      <alignment vertical="center"/>
    </xf>
    <xf numFmtId="9" fontId="68" fillId="0" borderId="0" xfId="0" applyNumberFormat="1" applyFont="1" applyAlignment="1">
      <alignment/>
    </xf>
    <xf numFmtId="10" fontId="68" fillId="0" borderId="0" xfId="55" applyNumberFormat="1" applyFont="1" applyAlignment="1">
      <alignment/>
    </xf>
    <xf numFmtId="0" fontId="73" fillId="0" borderId="0" xfId="0" applyFont="1" applyFill="1" applyBorder="1" applyAlignment="1">
      <alignment/>
    </xf>
    <xf numFmtId="0" fontId="8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3" fillId="0" borderId="0" xfId="0" applyFont="1" applyFill="1" applyAlignment="1">
      <alignment horizontal="left"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>
      <alignment horizontal="left"/>
    </xf>
    <xf numFmtId="0" fontId="5" fillId="4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44" fontId="6" fillId="0" borderId="10" xfId="51" applyFont="1" applyFill="1" applyBorder="1" applyAlignment="1">
      <alignment/>
    </xf>
    <xf numFmtId="9" fontId="6" fillId="0" borderId="10" xfId="55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0" xfId="55" applyNumberFormat="1" applyFont="1" applyFill="1" applyBorder="1" applyAlignment="1">
      <alignment/>
    </xf>
    <xf numFmtId="171" fontId="6" fillId="0" borderId="10" xfId="0" applyNumberFormat="1" applyFont="1" applyFill="1" applyBorder="1" applyAlignment="1">
      <alignment/>
    </xf>
    <xf numFmtId="173" fontId="6" fillId="0" borderId="10" xfId="55" applyNumberFormat="1" applyFont="1" applyFill="1" applyBorder="1" applyAlignment="1">
      <alignment/>
    </xf>
    <xf numFmtId="43" fontId="6" fillId="0" borderId="10" xfId="49" applyFont="1" applyFill="1" applyBorder="1" applyAlignment="1">
      <alignment/>
    </xf>
    <xf numFmtId="0" fontId="5" fillId="38" borderId="56" xfId="0" applyFont="1" applyFill="1" applyBorder="1" applyAlignment="1">
      <alignment horizontal="center" vertical="center" wrapText="1"/>
    </xf>
    <xf numFmtId="0" fontId="5" fillId="13" borderId="56" xfId="0" applyFont="1" applyFill="1" applyBorder="1" applyAlignment="1">
      <alignment horizontal="center" vertical="center" wrapText="1"/>
    </xf>
    <xf numFmtId="0" fontId="5" fillId="40" borderId="56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71" fillId="43" borderId="10" xfId="0" applyFont="1" applyFill="1" applyBorder="1" applyAlignment="1">
      <alignment horizontal="center"/>
    </xf>
    <xf numFmtId="43" fontId="69" fillId="0" borderId="10" xfId="49" applyFont="1" applyBorder="1" applyAlignment="1">
      <alignment horizontal="right" vertical="center" wrapText="1"/>
    </xf>
    <xf numFmtId="43" fontId="5" fillId="0" borderId="10" xfId="49" applyFont="1" applyBorder="1" applyAlignment="1">
      <alignment horizontal="right"/>
    </xf>
    <xf numFmtId="43" fontId="5" fillId="35" borderId="10" xfId="49" applyFont="1" applyFill="1" applyBorder="1" applyAlignment="1">
      <alignment horizontal="right"/>
    </xf>
    <xf numFmtId="43" fontId="69" fillId="35" borderId="10" xfId="49" applyFont="1" applyFill="1" applyBorder="1" applyAlignment="1">
      <alignment horizontal="right"/>
    </xf>
    <xf numFmtId="43" fontId="6" fillId="0" borderId="10" xfId="49" applyFont="1" applyBorder="1" applyAlignment="1">
      <alignment horizontal="right"/>
    </xf>
    <xf numFmtId="43" fontId="6" fillId="35" borderId="10" xfId="49" applyFont="1" applyFill="1" applyBorder="1" applyAlignment="1">
      <alignment horizontal="right"/>
    </xf>
    <xf numFmtId="43" fontId="5" fillId="33" borderId="10" xfId="49" applyFont="1" applyFill="1" applyBorder="1" applyAlignment="1">
      <alignment horizontal="right"/>
    </xf>
    <xf numFmtId="43" fontId="71" fillId="43" borderId="10" xfId="49" applyFont="1" applyFill="1" applyBorder="1" applyAlignment="1">
      <alignment/>
    </xf>
    <xf numFmtId="0" fontId="72" fillId="43" borderId="10" xfId="0" applyFont="1" applyFill="1" applyBorder="1" applyAlignment="1">
      <alignment/>
    </xf>
    <xf numFmtId="0" fontId="71" fillId="43" borderId="1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5" fillId="43" borderId="10" xfId="0" applyFont="1" applyFill="1" applyBorder="1" applyAlignment="1">
      <alignment vertical="center" wrapText="1"/>
    </xf>
    <xf numFmtId="43" fontId="69" fillId="0" borderId="10" xfId="0" applyNumberFormat="1" applyFont="1" applyBorder="1" applyAlignment="1">
      <alignment/>
    </xf>
    <xf numFmtId="9" fontId="69" fillId="0" borderId="10" xfId="55" applyFont="1" applyBorder="1" applyAlignment="1">
      <alignment horizontal="center"/>
    </xf>
    <xf numFmtId="0" fontId="81" fillId="43" borderId="10" xfId="0" applyFont="1" applyFill="1" applyBorder="1" applyAlignment="1">
      <alignment/>
    </xf>
    <xf numFmtId="43" fontId="69" fillId="33" borderId="10" xfId="49" applyFont="1" applyFill="1" applyBorder="1" applyAlignment="1">
      <alignment horizontal="right" vertical="center" wrapText="1"/>
    </xf>
    <xf numFmtId="9" fontId="71" fillId="43" borderId="10" xfId="0" applyNumberFormat="1" applyFont="1" applyFill="1" applyBorder="1" applyAlignment="1">
      <alignment horizontal="center"/>
    </xf>
    <xf numFmtId="180" fontId="69" fillId="0" borderId="10" xfId="49" applyNumberFormat="1" applyFont="1" applyBorder="1" applyAlignment="1">
      <alignment/>
    </xf>
    <xf numFmtId="170" fontId="71" fillId="33" borderId="10" xfId="0" applyNumberFormat="1" applyFont="1" applyFill="1" applyBorder="1" applyAlignment="1">
      <alignment horizontal="right"/>
    </xf>
    <xf numFmtId="43" fontId="71" fillId="33" borderId="10" xfId="49" applyFont="1" applyFill="1" applyBorder="1" applyAlignment="1">
      <alignment/>
    </xf>
    <xf numFmtId="0" fontId="69" fillId="0" borderId="0" xfId="0" applyFont="1" applyBorder="1" applyAlignment="1">
      <alignment/>
    </xf>
    <xf numFmtId="0" fontId="71" fillId="43" borderId="0" xfId="0" applyFont="1" applyFill="1" applyBorder="1" applyAlignment="1">
      <alignment/>
    </xf>
    <xf numFmtId="43" fontId="69" fillId="0" borderId="0" xfId="49" applyFont="1" applyBorder="1" applyAlignment="1">
      <alignment/>
    </xf>
    <xf numFmtId="0" fontId="71" fillId="44" borderId="10" xfId="0" applyFont="1" applyFill="1" applyBorder="1" applyAlignment="1">
      <alignment horizontal="left"/>
    </xf>
    <xf numFmtId="0" fontId="71" fillId="8" borderId="10" xfId="0" applyFont="1" applyFill="1" applyBorder="1" applyAlignment="1">
      <alignment horizontal="left"/>
    </xf>
    <xf numFmtId="43" fontId="71" fillId="35" borderId="10" xfId="49" applyFont="1" applyFill="1" applyBorder="1" applyAlignment="1">
      <alignment horizontal="right"/>
    </xf>
    <xf numFmtId="43" fontId="68" fillId="35" borderId="10" xfId="49" applyFont="1" applyFill="1" applyBorder="1" applyAlignment="1">
      <alignment/>
    </xf>
    <xf numFmtId="43" fontId="2" fillId="35" borderId="10" xfId="49" applyFont="1" applyFill="1" applyBorder="1" applyAlignment="1">
      <alignment/>
    </xf>
    <xf numFmtId="43" fontId="3" fillId="35" borderId="10" xfId="49" applyFont="1" applyFill="1" applyBorder="1" applyAlignment="1">
      <alignment/>
    </xf>
    <xf numFmtId="43" fontId="2" fillId="14" borderId="10" xfId="49" applyFont="1" applyFill="1" applyBorder="1" applyAlignment="1">
      <alignment/>
    </xf>
    <xf numFmtId="43" fontId="69" fillId="0" borderId="57" xfId="49" applyFont="1" applyBorder="1" applyAlignment="1">
      <alignment/>
    </xf>
    <xf numFmtId="0" fontId="5" fillId="0" borderId="57" xfId="0" applyFont="1" applyBorder="1" applyAlignment="1">
      <alignment horizontal="center" vertical="center" wrapText="1"/>
    </xf>
    <xf numFmtId="170" fontId="69" fillId="0" borderId="35" xfId="0" applyNumberFormat="1" applyFont="1" applyBorder="1" applyAlignment="1">
      <alignment horizontal="right" vertical="center" wrapText="1"/>
    </xf>
    <xf numFmtId="170" fontId="69" fillId="0" borderId="58" xfId="0" applyNumberFormat="1" applyFont="1" applyBorder="1" applyAlignment="1">
      <alignment horizontal="right" vertical="center" wrapText="1"/>
    </xf>
    <xf numFmtId="170" fontId="71" fillId="0" borderId="57" xfId="0" applyNumberFormat="1" applyFont="1" applyBorder="1" applyAlignment="1">
      <alignment horizontal="right"/>
    </xf>
    <xf numFmtId="0" fontId="5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43" fontId="69" fillId="35" borderId="10" xfId="49" applyFont="1" applyFill="1" applyBorder="1" applyAlignment="1">
      <alignment horizontal="right" vertical="center" wrapText="1"/>
    </xf>
    <xf numFmtId="170" fontId="71" fillId="0" borderId="10" xfId="0" applyNumberFormat="1" applyFont="1" applyBorder="1" applyAlignment="1">
      <alignment/>
    </xf>
    <xf numFmtId="43" fontId="71" fillId="0" borderId="10" xfId="49" applyFont="1" applyBorder="1" applyAlignment="1">
      <alignment horizontal="right"/>
    </xf>
    <xf numFmtId="2" fontId="69" fillId="0" borderId="10" xfId="0" applyNumberFormat="1" applyFont="1" applyFill="1" applyBorder="1" applyAlignment="1">
      <alignment horizontal="left"/>
    </xf>
    <xf numFmtId="43" fontId="69" fillId="0" borderId="10" xfId="49" applyFont="1" applyFill="1" applyBorder="1" applyAlignment="1">
      <alignment horizontal="right"/>
    </xf>
    <xf numFmtId="43" fontId="6" fillId="0" borderId="10" xfId="49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vertical="center" wrapText="1" indent="2"/>
    </xf>
    <xf numFmtId="170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/>
    </xf>
    <xf numFmtId="170" fontId="5" fillId="0" borderId="10" xfId="0" applyNumberFormat="1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center"/>
    </xf>
    <xf numFmtId="170" fontId="84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5" fillId="45" borderId="10" xfId="0" applyFont="1" applyFill="1" applyBorder="1" applyAlignment="1">
      <alignment horizontal="left" vertical="center" wrapText="1"/>
    </xf>
    <xf numFmtId="0" fontId="6" fillId="45" borderId="10" xfId="0" applyFont="1" applyFill="1" applyBorder="1" applyAlignment="1">
      <alignment horizontal="right"/>
    </xf>
    <xf numFmtId="0" fontId="6" fillId="45" borderId="10" xfId="0" applyFont="1" applyFill="1" applyBorder="1" applyAlignment="1">
      <alignment horizontal="center"/>
    </xf>
    <xf numFmtId="0" fontId="6" fillId="45" borderId="10" xfId="0" applyFont="1" applyFill="1" applyBorder="1" applyAlignment="1">
      <alignment/>
    </xf>
    <xf numFmtId="170" fontId="5" fillId="45" borderId="10" xfId="0" applyNumberFormat="1" applyFont="1" applyFill="1" applyBorder="1" applyAlignment="1">
      <alignment horizontal="center"/>
    </xf>
    <xf numFmtId="0" fontId="5" fillId="45" borderId="10" xfId="0" applyFont="1" applyFill="1" applyBorder="1" applyAlignment="1">
      <alignment/>
    </xf>
    <xf numFmtId="170" fontId="84" fillId="45" borderId="10" xfId="0" applyNumberFormat="1" applyFont="1" applyFill="1" applyBorder="1" applyAlignment="1">
      <alignment horizontal="left"/>
    </xf>
    <xf numFmtId="170" fontId="5" fillId="45" borderId="10" xfId="0" applyNumberFormat="1" applyFont="1" applyFill="1" applyBorder="1" applyAlignment="1">
      <alignment horizontal="right"/>
    </xf>
    <xf numFmtId="0" fontId="5" fillId="45" borderId="10" xfId="0" applyFont="1" applyFill="1" applyBorder="1" applyAlignment="1">
      <alignment horizontal="right"/>
    </xf>
    <xf numFmtId="0" fontId="5" fillId="45" borderId="10" xfId="0" applyFont="1" applyFill="1" applyBorder="1" applyAlignment="1">
      <alignment horizontal="center"/>
    </xf>
    <xf numFmtId="0" fontId="5" fillId="4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 indent="2"/>
    </xf>
    <xf numFmtId="170" fontId="5" fillId="0" borderId="10" xfId="0" applyNumberFormat="1" applyFont="1" applyFill="1" applyBorder="1" applyAlignment="1">
      <alignment/>
    </xf>
    <xf numFmtId="0" fontId="67" fillId="0" borderId="10" xfId="0" applyFont="1" applyFill="1" applyBorder="1" applyAlignment="1">
      <alignment vertical="center" wrapText="1"/>
    </xf>
    <xf numFmtId="180" fontId="71" fillId="0" borderId="12" xfId="49" applyNumberFormat="1" applyFont="1" applyBorder="1" applyAlignment="1">
      <alignment/>
    </xf>
    <xf numFmtId="0" fontId="69" fillId="41" borderId="12" xfId="0" applyFont="1" applyFill="1" applyBorder="1" applyAlignment="1">
      <alignment horizontal="right"/>
    </xf>
    <xf numFmtId="173" fontId="69" fillId="0" borderId="10" xfId="55" applyNumberFormat="1" applyFont="1" applyBorder="1" applyAlignment="1">
      <alignment horizontal="right"/>
    </xf>
    <xf numFmtId="9" fontId="71" fillId="0" borderId="12" xfId="55" applyFont="1" applyBorder="1" applyAlignment="1">
      <alignment horizontal="right"/>
    </xf>
    <xf numFmtId="43" fontId="69" fillId="0" borderId="0" xfId="49" applyFont="1" applyAlignment="1">
      <alignment/>
    </xf>
    <xf numFmtId="0" fontId="85" fillId="0" borderId="0" xfId="0" applyFont="1" applyAlignment="1">
      <alignment/>
    </xf>
    <xf numFmtId="170" fontId="85" fillId="0" borderId="0" xfId="0" applyNumberFormat="1" applyFont="1" applyAlignment="1">
      <alignment/>
    </xf>
    <xf numFmtId="0" fontId="85" fillId="0" borderId="0" xfId="0" applyFont="1" applyFill="1" applyAlignment="1">
      <alignment/>
    </xf>
    <xf numFmtId="43" fontId="5" fillId="42" borderId="25" xfId="49" applyFont="1" applyFill="1" applyBorder="1" applyAlignment="1">
      <alignment horizontal="center" vertical="center"/>
    </xf>
    <xf numFmtId="43" fontId="5" fillId="8" borderId="23" xfId="49" applyFont="1" applyFill="1" applyBorder="1" applyAlignment="1">
      <alignment horizontal="center" vertical="center"/>
    </xf>
    <xf numFmtId="43" fontId="5" fillId="42" borderId="10" xfId="49" applyFont="1" applyFill="1" applyBorder="1" applyAlignment="1">
      <alignment horizontal="center" vertical="center"/>
    </xf>
    <xf numFmtId="43" fontId="5" fillId="24" borderId="25" xfId="49" applyFont="1" applyFill="1" applyBorder="1" applyAlignment="1">
      <alignment horizontal="center" vertical="center"/>
    </xf>
    <xf numFmtId="43" fontId="5" fillId="8" borderId="10" xfId="49" applyFont="1" applyFill="1" applyBorder="1" applyAlignment="1">
      <alignment horizontal="center" vertical="center"/>
    </xf>
    <xf numFmtId="43" fontId="69" fillId="0" borderId="0" xfId="49" applyFont="1" applyFill="1" applyAlignment="1">
      <alignment/>
    </xf>
    <xf numFmtId="43" fontId="5" fillId="23" borderId="23" xfId="49" applyFont="1" applyFill="1" applyBorder="1" applyAlignment="1">
      <alignment horizontal="center" vertical="center"/>
    </xf>
    <xf numFmtId="43" fontId="6" fillId="35" borderId="10" xfId="49" applyFont="1" applyFill="1" applyBorder="1" applyAlignment="1">
      <alignment horizontal="center" vertical="center"/>
    </xf>
    <xf numFmtId="43" fontId="5" fillId="24" borderId="10" xfId="49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/>
    </xf>
    <xf numFmtId="43" fontId="6" fillId="0" borderId="12" xfId="49" applyFont="1" applyFill="1" applyBorder="1" applyAlignment="1">
      <alignment horizontal="center" vertical="center"/>
    </xf>
    <xf numFmtId="43" fontId="6" fillId="0" borderId="10" xfId="49" applyFont="1" applyFill="1" applyBorder="1" applyAlignment="1">
      <alignment horizontal="center" vertical="center"/>
    </xf>
    <xf numFmtId="43" fontId="6" fillId="8" borderId="22" xfId="49" applyFont="1" applyFill="1" applyBorder="1" applyAlignment="1">
      <alignment horizontal="center"/>
    </xf>
    <xf numFmtId="43" fontId="5" fillId="8" borderId="22" xfId="49" applyFont="1" applyFill="1" applyBorder="1" applyAlignment="1">
      <alignment horizontal="center" vertical="center"/>
    </xf>
    <xf numFmtId="43" fontId="5" fillId="42" borderId="27" xfId="49" applyFont="1" applyFill="1" applyBorder="1" applyAlignment="1">
      <alignment horizontal="center" vertical="center"/>
    </xf>
    <xf numFmtId="43" fontId="5" fillId="42" borderId="28" xfId="49" applyFont="1" applyFill="1" applyBorder="1" applyAlignment="1">
      <alignment horizontal="center" vertical="center"/>
    </xf>
    <xf numFmtId="43" fontId="5" fillId="8" borderId="25" xfId="49" applyFont="1" applyFill="1" applyBorder="1" applyAlignment="1">
      <alignment horizontal="center" vertical="center"/>
    </xf>
    <xf numFmtId="43" fontId="5" fillId="0" borderId="25" xfId="49" applyFont="1" applyFill="1" applyBorder="1" applyAlignment="1">
      <alignment horizontal="center" vertical="center"/>
    </xf>
    <xf numFmtId="43" fontId="5" fillId="23" borderId="22" xfId="49" applyFont="1" applyFill="1" applyBorder="1" applyAlignment="1">
      <alignment horizontal="center" vertical="center"/>
    </xf>
    <xf numFmtId="43" fontId="6" fillId="35" borderId="12" xfId="49" applyFont="1" applyFill="1" applyBorder="1" applyAlignment="1">
      <alignment horizontal="center" vertical="center"/>
    </xf>
    <xf numFmtId="0" fontId="71" fillId="24" borderId="10" xfId="0" applyFont="1" applyFill="1" applyBorder="1" applyAlignment="1">
      <alignment horizontal="center" vertical="center"/>
    </xf>
    <xf numFmtId="0" fontId="71" fillId="24" borderId="25" xfId="0" applyFont="1" applyFill="1" applyBorder="1" applyAlignment="1">
      <alignment vertical="center"/>
    </xf>
    <xf numFmtId="43" fontId="71" fillId="24" borderId="25" xfId="49" applyFont="1" applyFill="1" applyBorder="1" applyAlignment="1">
      <alignment horizontal="center" vertical="center"/>
    </xf>
    <xf numFmtId="0" fontId="71" fillId="24" borderId="10" xfId="0" applyFont="1" applyFill="1" applyBorder="1" applyAlignment="1">
      <alignment vertical="center"/>
    </xf>
    <xf numFmtId="43" fontId="71" fillId="24" borderId="10" xfId="49" applyFont="1" applyFill="1" applyBorder="1" applyAlignment="1">
      <alignment horizontal="center" vertical="center"/>
    </xf>
    <xf numFmtId="43" fontId="69" fillId="0" borderId="10" xfId="49" applyFont="1" applyBorder="1" applyAlignment="1">
      <alignment horizontal="center" vertical="center"/>
    </xf>
    <xf numFmtId="43" fontId="69" fillId="0" borderId="37" xfId="49" applyFont="1" applyBorder="1" applyAlignment="1">
      <alignment horizontal="center" vertical="center"/>
    </xf>
    <xf numFmtId="43" fontId="69" fillId="0" borderId="39" xfId="49" applyFont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43" fontId="69" fillId="0" borderId="40" xfId="49" applyFont="1" applyBorder="1" applyAlignment="1">
      <alignment horizontal="center" vertical="center"/>
    </xf>
    <xf numFmtId="43" fontId="69" fillId="35" borderId="10" xfId="49" applyFont="1" applyFill="1" applyBorder="1" applyAlignment="1">
      <alignment/>
    </xf>
    <xf numFmtId="43" fontId="69" fillId="35" borderId="0" xfId="49" applyFont="1" applyFill="1" applyAlignment="1">
      <alignment/>
    </xf>
    <xf numFmtId="43" fontId="71" fillId="8" borderId="10" xfId="49" applyFont="1" applyFill="1" applyBorder="1" applyAlignment="1">
      <alignment/>
    </xf>
    <xf numFmtId="10" fontId="71" fillId="33" borderId="10" xfId="0" applyNumberFormat="1" applyFont="1" applyFill="1" applyBorder="1" applyAlignment="1">
      <alignment horizontal="center" vertical="center" wrapText="1"/>
    </xf>
    <xf numFmtId="43" fontId="69" fillId="33" borderId="10" xfId="0" applyNumberFormat="1" applyFont="1" applyFill="1" applyBorder="1" applyAlignment="1">
      <alignment/>
    </xf>
    <xf numFmtId="10" fontId="69" fillId="33" borderId="10" xfId="0" applyNumberFormat="1" applyFont="1" applyFill="1" applyBorder="1" applyAlignment="1">
      <alignment/>
    </xf>
    <xf numFmtId="10" fontId="69" fillId="0" borderId="0" xfId="55" applyNumberFormat="1" applyFont="1" applyAlignment="1">
      <alignment/>
    </xf>
    <xf numFmtId="43" fontId="69" fillId="35" borderId="10" xfId="49" applyFont="1" applyFill="1" applyBorder="1" applyAlignment="1">
      <alignment horizontal="center"/>
    </xf>
    <xf numFmtId="43" fontId="6" fillId="33" borderId="10" xfId="49" applyFont="1" applyFill="1" applyBorder="1" applyAlignment="1">
      <alignment horizontal="right"/>
    </xf>
    <xf numFmtId="43" fontId="6" fillId="33" borderId="10" xfId="49" applyFont="1" applyFill="1" applyBorder="1" applyAlignment="1">
      <alignment horizontal="center"/>
    </xf>
    <xf numFmtId="43" fontId="71" fillId="34" borderId="10" xfId="49" applyFont="1" applyFill="1" applyBorder="1" applyAlignment="1">
      <alignment horizontal="right" vertical="center" wrapText="1"/>
    </xf>
    <xf numFmtId="43" fontId="69" fillId="0" borderId="10" xfId="49" applyFont="1" applyBorder="1" applyAlignment="1">
      <alignment horizontal="right" vertical="center"/>
    </xf>
    <xf numFmtId="43" fontId="5" fillId="24" borderId="10" xfId="49" applyFont="1" applyFill="1" applyBorder="1" applyAlignment="1">
      <alignment horizontal="right" vertical="center"/>
    </xf>
    <xf numFmtId="0" fontId="86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right" vertical="center"/>
    </xf>
    <xf numFmtId="1" fontId="5" fillId="0" borderId="59" xfId="0" applyNumberFormat="1" applyFont="1" applyFill="1" applyBorder="1" applyAlignment="1">
      <alignment horizontal="right" vertical="center"/>
    </xf>
    <xf numFmtId="1" fontId="5" fillId="0" borderId="60" xfId="0" applyNumberFormat="1" applyFont="1" applyFill="1" applyBorder="1" applyAlignment="1">
      <alignment horizontal="right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61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top"/>
    </xf>
    <xf numFmtId="1" fontId="5" fillId="0" borderId="6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37" borderId="25" xfId="0" applyFont="1" applyFill="1" applyBorder="1" applyAlignment="1">
      <alignment horizontal="center" vertical="center"/>
    </xf>
    <xf numFmtId="0" fontId="5" fillId="37" borderId="55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43" fontId="5" fillId="42" borderId="21" xfId="49" applyFont="1" applyFill="1" applyBorder="1" applyAlignment="1">
      <alignment horizontal="center" vertical="center"/>
    </xf>
    <xf numFmtId="43" fontId="5" fillId="42" borderId="22" xfId="49" applyFont="1" applyFill="1" applyBorder="1" applyAlignment="1">
      <alignment horizontal="center" vertical="center"/>
    </xf>
    <xf numFmtId="43" fontId="5" fillId="42" borderId="23" xfId="49" applyFont="1" applyFill="1" applyBorder="1" applyAlignment="1">
      <alignment horizontal="center" vertical="center"/>
    </xf>
    <xf numFmtId="0" fontId="5" fillId="42" borderId="21" xfId="0" applyFont="1" applyFill="1" applyBorder="1" applyAlignment="1">
      <alignment horizontal="center" vertical="center"/>
    </xf>
    <xf numFmtId="0" fontId="5" fillId="42" borderId="22" xfId="0" applyFont="1" applyFill="1" applyBorder="1" applyAlignment="1">
      <alignment horizontal="center" vertical="center"/>
    </xf>
    <xf numFmtId="0" fontId="5" fillId="42" borderId="23" xfId="0" applyFont="1" applyFill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72" fillId="43" borderId="25" xfId="0" applyFont="1" applyFill="1" applyBorder="1" applyAlignment="1">
      <alignment horizontal="center" vertical="center"/>
    </xf>
    <xf numFmtId="0" fontId="72" fillId="43" borderId="12" xfId="0" applyFont="1" applyFill="1" applyBorder="1" applyAlignment="1">
      <alignment horizontal="center" vertical="center"/>
    </xf>
    <xf numFmtId="0" fontId="71" fillId="43" borderId="21" xfId="0" applyFont="1" applyFill="1" applyBorder="1" applyAlignment="1">
      <alignment horizontal="center"/>
    </xf>
    <xf numFmtId="0" fontId="71" fillId="43" borderId="22" xfId="0" applyFont="1" applyFill="1" applyBorder="1" applyAlignment="1">
      <alignment horizontal="center"/>
    </xf>
    <xf numFmtId="0" fontId="71" fillId="43" borderId="23" xfId="0" applyFont="1" applyFill="1" applyBorder="1" applyAlignment="1">
      <alignment horizontal="center"/>
    </xf>
    <xf numFmtId="0" fontId="71" fillId="4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31"/>
          <c:w val="0.65325"/>
          <c:h val="0.94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'PRINCIPALES RATIOS'!$B$27</c:f>
              <c:strCache>
                <c:ptCount val="1"/>
                <c:pt idx="0">
                  <c:v>Liquidez General (AC/PC)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'PRINCIPALES RATIOS'!$C$26:$J$26</c:f>
              <c:strCache>
                <c:ptCount val="8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  <c:pt idx="4">
                  <c:v>5TO TRIMESTRE</c:v>
                </c:pt>
                <c:pt idx="5">
                  <c:v>6TO TRIMESTRE</c:v>
                </c:pt>
                <c:pt idx="6">
                  <c:v>7MO TRIMESTRE</c:v>
                </c:pt>
                <c:pt idx="7">
                  <c:v>8VO TRIMESTRE</c:v>
                </c:pt>
              </c:strCache>
            </c:strRef>
          </c:xVal>
          <c:yVal>
            <c:numRef>
              <c:f>'PRINCIPALES RATIOS'!$C$27:$J$27</c:f>
              <c:numCache>
                <c:ptCount val="8"/>
                <c:pt idx="0">
                  <c:v>14.93849374328799</c:v>
                </c:pt>
                <c:pt idx="1">
                  <c:v>16.364045161382496</c:v>
                </c:pt>
                <c:pt idx="2">
                  <c:v>15.104477758492353</c:v>
                </c:pt>
                <c:pt idx="3">
                  <c:v>16.79292406999519</c:v>
                </c:pt>
                <c:pt idx="4">
                  <c:v>14.773103470077974</c:v>
                </c:pt>
                <c:pt idx="5">
                  <c:v>15.872443289308164</c:v>
                </c:pt>
                <c:pt idx="6">
                  <c:v>14.301006715038932</c:v>
                </c:pt>
                <c:pt idx="7">
                  <c:v>15.700242513395954</c:v>
                </c:pt>
              </c:numCache>
            </c:numRef>
          </c:yVal>
          <c:smooth val="1"/>
        </c:ser>
        <c:axId val="41192894"/>
        <c:axId val="35191727"/>
      </c:scatterChart>
      <c:valAx>
        <c:axId val="4119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91727"/>
        <c:crosses val="autoZero"/>
        <c:crossBetween val="midCat"/>
        <c:dispUnits/>
      </c:valAx>
      <c:valAx>
        <c:axId val="35191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28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5"/>
          <c:y val="0.49825"/>
          <c:w val="0.303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31"/>
          <c:w val="0.663"/>
          <c:h val="0.88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'PRINCIPALES RATIOS'!$B$30</c:f>
              <c:strCache>
                <c:ptCount val="1"/>
                <c:pt idx="0">
                  <c:v>Capital de Trabajo (AC-PC)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339966"/>
                </a:solidFill>
              </a:ln>
            </c:spPr>
          </c:marker>
          <c:yVal>
            <c:numRef>
              <c:f>'PRINCIPALES RATIOS'!$C$30:$J$30</c:f>
              <c:numCache>
                <c:ptCount val="8"/>
                <c:pt idx="0">
                  <c:v>34202.94625255248</c:v>
                </c:pt>
                <c:pt idx="1">
                  <c:v>40821.66930936421</c:v>
                </c:pt>
                <c:pt idx="2">
                  <c:v>36844.63522685042</c:v>
                </c:pt>
                <c:pt idx="3">
                  <c:v>44934.39695323215</c:v>
                </c:pt>
                <c:pt idx="4">
                  <c:v>35942.963482819505</c:v>
                </c:pt>
                <c:pt idx="5">
                  <c:v>41835.77081670014</c:v>
                </c:pt>
                <c:pt idx="6">
                  <c:v>36859.10335241929</c:v>
                </c:pt>
                <c:pt idx="7">
                  <c:v>44204.18316818385</c:v>
                </c:pt>
              </c:numCache>
            </c:numRef>
          </c:yVal>
          <c:smooth val="1"/>
        </c:ser>
        <c:axId val="47768824"/>
        <c:axId val="27266233"/>
      </c:scatterChart>
      <c:valAx>
        <c:axId val="477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66233"/>
        <c:crosses val="autoZero"/>
        <c:crossBetween val="midCat"/>
        <c:dispUnits/>
      </c:valAx>
      <c:valAx>
        <c:axId val="27266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688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25"/>
          <c:y val="0.50175"/>
          <c:w val="0.3142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31"/>
          <c:w val="0.63875"/>
          <c:h val="0.88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'PRINCIPALES RATIOS'!$B$28</c:f>
              <c:strCache>
                <c:ptCount val="1"/>
                <c:pt idx="0">
                  <c:v>Prueba Acida ( (AC-EXIS)/PC)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339966"/>
                </a:solidFill>
              </a:ln>
            </c:spPr>
          </c:marker>
          <c:yVal>
            <c:numRef>
              <c:f>'PRINCIPALES RATIOS'!$C$28:$J$28</c:f>
              <c:numCache>
                <c:ptCount val="8"/>
                <c:pt idx="0">
                  <c:v>5.735003074903699</c:v>
                </c:pt>
                <c:pt idx="1">
                  <c:v>7.864120730422931</c:v>
                </c:pt>
                <c:pt idx="2">
                  <c:v>6.459119420886353</c:v>
                </c:pt>
                <c:pt idx="3">
                  <c:v>8.855421488299902</c:v>
                </c:pt>
                <c:pt idx="4">
                  <c:v>6.119077816973149</c:v>
                </c:pt>
                <c:pt idx="5">
                  <c:v>7.843936182335651</c:v>
                </c:pt>
                <c:pt idx="6">
                  <c:v>6.151337225031983</c:v>
                </c:pt>
                <c:pt idx="7">
                  <c:v>8.189871713156286</c:v>
                </c:pt>
              </c:numCache>
            </c:numRef>
          </c:yVal>
          <c:smooth val="1"/>
        </c:ser>
        <c:axId val="48290088"/>
        <c:axId val="31957609"/>
      </c:scatterChart>
      <c:valAx>
        <c:axId val="4829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57609"/>
        <c:crosses val="autoZero"/>
        <c:crossBetween val="midCat"/>
        <c:dispUnits/>
      </c:valAx>
      <c:valAx>
        <c:axId val="31957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900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50175"/>
          <c:w val="0.337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345"/>
          <c:w val="0.62075"/>
          <c:h val="0.77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'PRINCIPALES RATIOS'!$B$33</c:f>
              <c:strCache>
                <c:ptCount val="1"/>
                <c:pt idx="0">
                  <c:v>Rotacion de Inmueble Maquinaria y Equipo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339966"/>
                </a:solidFill>
              </a:ln>
            </c:spPr>
          </c:marker>
          <c:yVal>
            <c:numRef>
              <c:f>'PRINCIPALES RATIOS'!$C$33:$J$33</c:f>
              <c:numCache>
                <c:ptCount val="8"/>
                <c:pt idx="0">
                  <c:v>2.937582301817224</c:v>
                </c:pt>
                <c:pt idx="1">
                  <c:v>3.6233868843824073</c:v>
                </c:pt>
                <c:pt idx="2">
                  <c:v>3.417961548590993</c:v>
                </c:pt>
                <c:pt idx="3">
                  <c:v>4.07426915986305</c:v>
                </c:pt>
                <c:pt idx="4">
                  <c:v>2.937582301817224</c:v>
                </c:pt>
                <c:pt idx="5">
                  <c:v>3.6233868843824073</c:v>
                </c:pt>
                <c:pt idx="6">
                  <c:v>3.417961548590993</c:v>
                </c:pt>
                <c:pt idx="7">
                  <c:v>4.07426915986305</c:v>
                </c:pt>
              </c:numCache>
            </c:numRef>
          </c:yVal>
          <c:smooth val="1"/>
        </c:ser>
        <c:axId val="19183026"/>
        <c:axId val="38429507"/>
      </c:scatterChart>
      <c:valAx>
        <c:axId val="1918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9507"/>
        <c:crosses val="autoZero"/>
        <c:crossBetween val="midCat"/>
        <c:dispUnits/>
      </c:valAx>
      <c:valAx>
        <c:axId val="38429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830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5125"/>
          <c:w val="0.34825"/>
          <c:h val="0.2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345"/>
          <c:w val="0.6675"/>
          <c:h val="0.77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'PRINCIPALES RATIOS'!$B$40</c:f>
              <c:strCache>
                <c:ptCount val="1"/>
                <c:pt idx="0">
                  <c:v>Estructura de capital(Pasivo total/Patrimonio)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339966"/>
                </a:solidFill>
              </a:ln>
            </c:spPr>
          </c:marker>
          <c:yVal>
            <c:numRef>
              <c:f>'PRINCIPALES RATIOS'!$C$40:$J$40</c:f>
              <c:numCache>
                <c:ptCount val="8"/>
                <c:pt idx="0">
                  <c:v>0.25175393630607046</c:v>
                </c:pt>
                <c:pt idx="1">
                  <c:v>0.2060223315985038</c:v>
                </c:pt>
                <c:pt idx="2">
                  <c:v>0.18613559350932507</c:v>
                </c:pt>
                <c:pt idx="3">
                  <c:v>0.14514076283141644</c:v>
                </c:pt>
                <c:pt idx="4">
                  <c:v>0.13345689665852112</c:v>
                </c:pt>
                <c:pt idx="5">
                  <c:v>0.09617545391944243</c:v>
                </c:pt>
                <c:pt idx="6">
                  <c:v>0.06937587451699424</c:v>
                </c:pt>
                <c:pt idx="7">
                  <c:v>0.03765043100937863</c:v>
                </c:pt>
              </c:numCache>
            </c:numRef>
          </c:yVal>
          <c:smooth val="1"/>
        </c:ser>
        <c:axId val="10321244"/>
        <c:axId val="25782333"/>
      </c:scatterChart>
      <c:valAx>
        <c:axId val="103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82333"/>
        <c:crosses val="autoZero"/>
        <c:crossBetween val="midCat"/>
        <c:dispUnits/>
      </c:valAx>
      <c:valAx>
        <c:axId val="25782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212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5"/>
          <c:y val="0.5125"/>
          <c:w val="0.30775"/>
          <c:h val="0.2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31"/>
          <c:w val="0.62825"/>
          <c:h val="0.88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'PRINCIPALES RATIOS'!$B$41</c:f>
              <c:strCache>
                <c:ptCount val="1"/>
                <c:pt idx="0">
                  <c:v>Endeudamiento total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339966"/>
                </a:solidFill>
              </a:ln>
            </c:spPr>
          </c:marker>
          <c:yVal>
            <c:numRef>
              <c:f>'PRINCIPALES RATIOS'!$C$41:$J$41</c:f>
              <c:numCache>
                <c:ptCount val="8"/>
                <c:pt idx="0">
                  <c:v>0.227470115555289</c:v>
                </c:pt>
                <c:pt idx="1">
                  <c:v>0.18699447150900708</c:v>
                </c:pt>
                <c:pt idx="2">
                  <c:v>0.17003765213540065</c:v>
                </c:pt>
                <c:pt idx="3">
                  <c:v>0.1326086025476055</c:v>
                </c:pt>
                <c:pt idx="4">
                  <c:v>0.11807728110525789</c:v>
                </c:pt>
                <c:pt idx="5">
                  <c:v>0.08624822721278336</c:v>
                </c:pt>
                <c:pt idx="6">
                  <c:v>0.06336956231380157</c:v>
                </c:pt>
                <c:pt idx="7">
                  <c:v>0.034691945523083925</c:v>
                </c:pt>
              </c:numCache>
            </c:numRef>
          </c:yVal>
          <c:smooth val="1"/>
        </c:ser>
        <c:axId val="30714406"/>
        <c:axId val="7994199"/>
      </c:scatterChart>
      <c:valAx>
        <c:axId val="3071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94199"/>
        <c:crosses val="autoZero"/>
        <c:crossBetween val="midCat"/>
        <c:dispUnits/>
      </c:valAx>
      <c:valAx>
        <c:axId val="7994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144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25"/>
          <c:y val="0.534"/>
          <c:w val="0.348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5525"/>
          <c:w val="0.6105"/>
          <c:h val="0.88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'PRINCIPALES RATIOS'!$B$44</c:f>
              <c:strCache>
                <c:ptCount val="1"/>
                <c:pt idx="0">
                  <c:v>Rentabilidad sobre la inversion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339966"/>
                </a:solidFill>
              </a:ln>
            </c:spPr>
          </c:marker>
          <c:yVal>
            <c:numRef>
              <c:f>'PRINCIPALES RATIOS'!$C$44:$J$44</c:f>
              <c:numCache>
                <c:ptCount val="8"/>
                <c:pt idx="0">
                  <c:v>0.24671698249502927</c:v>
                </c:pt>
                <c:pt idx="1">
                  <c:v>0.3048375780222586</c:v>
                </c:pt>
                <c:pt idx="2">
                  <c:v>0.2799936823278251</c:v>
                </c:pt>
                <c:pt idx="3">
                  <c:v>0.34056732526606986</c:v>
                </c:pt>
                <c:pt idx="4">
                  <c:v>0.2438955481680983</c:v>
                </c:pt>
                <c:pt idx="5">
                  <c:v>0.30236130816021023</c:v>
                </c:pt>
                <c:pt idx="6">
                  <c:v>0.2812907884602817</c:v>
                </c:pt>
                <c:pt idx="7">
                  <c:v>0.34457639493394343</c:v>
                </c:pt>
              </c:numCache>
            </c:numRef>
          </c:yVal>
          <c:smooth val="1"/>
        </c:ser>
        <c:axId val="4838928"/>
        <c:axId val="43550353"/>
      </c:scatterChart>
      <c:valAx>
        <c:axId val="483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50353"/>
        <c:crosses val="autoZero"/>
        <c:crossBetween val="midCat"/>
        <c:dispUnits/>
      </c:valAx>
      <c:valAx>
        <c:axId val="43550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9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25"/>
          <c:y val="0.4945"/>
          <c:w val="0.3482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31"/>
          <c:w val="0.63025"/>
          <c:h val="0.88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'PRINCIPALES RATIOS'!$B$45</c:f>
              <c:strCache>
                <c:ptCount val="1"/>
                <c:pt idx="0">
                  <c:v>Rentabilidad sobre el patrimonio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339966"/>
                </a:solidFill>
              </a:ln>
            </c:spPr>
          </c:marker>
          <c:yVal>
            <c:numRef>
              <c:f>'PRINCIPALES RATIOS'!$C$45:$J$45</c:f>
              <c:numCache>
                <c:ptCount val="8"/>
                <c:pt idx="0">
                  <c:v>0.273055523557698</c:v>
                </c:pt>
                <c:pt idx="1">
                  <c:v>0.33585671317540233</c:v>
                </c:pt>
                <c:pt idx="2">
                  <c:v>0.30650146943602025</c:v>
                </c:pt>
                <c:pt idx="3">
                  <c:v>0.3727526000195005</c:v>
                </c:pt>
                <c:pt idx="4">
                  <c:v>0.275663045953163</c:v>
                </c:pt>
                <c:pt idx="5">
                  <c:v>0.33716329018846847</c:v>
                </c:pt>
                <c:pt idx="6">
                  <c:v>0.30795217341680536</c:v>
                </c:pt>
                <c:pt idx="7">
                  <c:v>0.3739614365613581</c:v>
                </c:pt>
              </c:numCache>
            </c:numRef>
          </c:yVal>
          <c:smooth val="1"/>
        </c:ser>
        <c:axId val="56408858"/>
        <c:axId val="37917675"/>
      </c:scatterChart>
      <c:val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17675"/>
        <c:crosses val="autoZero"/>
        <c:crossBetween val="midCat"/>
        <c:dispUnits/>
      </c:valAx>
      <c:valAx>
        <c:axId val="37917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088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5"/>
          <c:y val="0.50175"/>
          <c:w val="0.3482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31"/>
          <c:w val="0.65425"/>
          <c:h val="0.88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'PRINCIPALES RATIOS'!$B$46</c:f>
              <c:strCache>
                <c:ptCount val="1"/>
                <c:pt idx="0">
                  <c:v>Rentabilidad sobre ventas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339966"/>
                </a:solidFill>
              </a:ln>
            </c:spPr>
          </c:marker>
          <c:yVal>
            <c:numRef>
              <c:f>'PRINCIPALES RATIOS'!$C$46:$J$46</c:f>
              <c:numCache>
                <c:ptCount val="8"/>
                <c:pt idx="0">
                  <c:v>0.1683794510745222</c:v>
                </c:pt>
                <c:pt idx="1">
                  <c:v>0.18378368092201486</c:v>
                </c:pt>
                <c:pt idx="2">
                  <c:v>0.17027435752235878</c:v>
                </c:pt>
                <c:pt idx="3">
                  <c:v>0.19207086943422094</c:v>
                </c:pt>
                <c:pt idx="4">
                  <c:v>0.1705993107792237</c:v>
                </c:pt>
                <c:pt idx="5">
                  <c:v>0.18486233297016777</c:v>
                </c:pt>
                <c:pt idx="6">
                  <c:v>0.1714389108562691</c:v>
                </c:pt>
                <c:pt idx="7">
                  <c:v>0.19306583331314267</c:v>
                </c:pt>
              </c:numCache>
            </c:numRef>
          </c:yVal>
          <c:smooth val="1"/>
        </c:ser>
        <c:axId val="5714756"/>
        <c:axId val="51432805"/>
      </c:scatterChart>
      <c:valAx>
        <c:axId val="571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32805"/>
        <c:crosses val="autoZero"/>
        <c:crossBetween val="midCat"/>
        <c:dispUnits/>
      </c:valAx>
      <c:valAx>
        <c:axId val="51432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47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75"/>
          <c:y val="0.50175"/>
          <c:w val="0.320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31"/>
          <c:w val="0.6685"/>
          <c:h val="0.88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'PRINCIPALES RATIOS'!$B$29</c:f>
              <c:strCache>
                <c:ptCount val="1"/>
                <c:pt idx="0">
                  <c:v>Prueba Defensiva (CB/PC)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339966"/>
                </a:solidFill>
              </a:ln>
            </c:spPr>
          </c:marker>
          <c:yVal>
            <c:numRef>
              <c:f>'PRINCIPALES RATIOS'!$C$29:$J$29</c:f>
              <c:numCache>
                <c:ptCount val="8"/>
                <c:pt idx="0">
                  <c:v>3.4622462476898446</c:v>
                </c:pt>
                <c:pt idx="1">
                  <c:v>5.694536785641111</c:v>
                </c:pt>
                <c:pt idx="2">
                  <c:v>4.036317860119514</c:v>
                </c:pt>
                <c:pt idx="3">
                  <c:v>6.437685142787817</c:v>
                </c:pt>
                <c:pt idx="4">
                  <c:v>3.29724221618484</c:v>
                </c:pt>
                <c:pt idx="5">
                  <c:v>5.383371593291324</c:v>
                </c:pt>
                <c:pt idx="6">
                  <c:v>3.8097112839814504</c:v>
                </c:pt>
                <c:pt idx="7">
                  <c:v>6.09578422024498</c:v>
                </c:pt>
              </c:numCache>
            </c:numRef>
          </c:yVal>
          <c:smooth val="1"/>
        </c:ser>
        <c:axId val="60242062"/>
        <c:axId val="5307647"/>
      </c:scatterChart>
      <c:valAx>
        <c:axId val="602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7647"/>
        <c:crosses val="autoZero"/>
        <c:crossBetween val="midCat"/>
        <c:dispUnits/>
      </c:valAx>
      <c:valAx>
        <c:axId val="5307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420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95"/>
          <c:y val="0.50175"/>
          <c:w val="0.3057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9525</xdr:colOff>
      <xdr:row>14</xdr:row>
      <xdr:rowOff>76200</xdr:rowOff>
    </xdr:to>
    <xdr:graphicFrame>
      <xdr:nvGraphicFramePr>
        <xdr:cNvPr id="1" name="1 Gráfico"/>
        <xdr:cNvGraphicFramePr/>
      </xdr:nvGraphicFramePr>
      <xdr:xfrm>
        <a:off x="9525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0</xdr:row>
      <xdr:rowOff>9525</xdr:rowOff>
    </xdr:from>
    <xdr:to>
      <xdr:col>12</xdr:col>
      <xdr:colOff>295275</xdr:colOff>
      <xdr:row>14</xdr:row>
      <xdr:rowOff>85725</xdr:rowOff>
    </xdr:to>
    <xdr:graphicFrame>
      <xdr:nvGraphicFramePr>
        <xdr:cNvPr id="2" name="2 Gráfico"/>
        <xdr:cNvGraphicFramePr/>
      </xdr:nvGraphicFramePr>
      <xdr:xfrm>
        <a:off x="4867275" y="95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32</xdr:row>
      <xdr:rowOff>85725</xdr:rowOff>
    </xdr:from>
    <xdr:to>
      <xdr:col>6</xdr:col>
      <xdr:colOff>428625</xdr:colOff>
      <xdr:row>46</xdr:row>
      <xdr:rowOff>161925</xdr:rowOff>
    </xdr:to>
    <xdr:graphicFrame>
      <xdr:nvGraphicFramePr>
        <xdr:cNvPr id="3" name="3 Gráfico"/>
        <xdr:cNvGraphicFramePr/>
      </xdr:nvGraphicFramePr>
      <xdr:xfrm>
        <a:off x="428625" y="61817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31</xdr:row>
      <xdr:rowOff>171450</xdr:rowOff>
    </xdr:from>
    <xdr:to>
      <xdr:col>13</xdr:col>
      <xdr:colOff>19050</xdr:colOff>
      <xdr:row>46</xdr:row>
      <xdr:rowOff>57150</xdr:rowOff>
    </xdr:to>
    <xdr:graphicFrame>
      <xdr:nvGraphicFramePr>
        <xdr:cNvPr id="4" name="4 Gráfico"/>
        <xdr:cNvGraphicFramePr/>
      </xdr:nvGraphicFramePr>
      <xdr:xfrm>
        <a:off x="5353050" y="60769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49</xdr:row>
      <xdr:rowOff>19050</xdr:rowOff>
    </xdr:from>
    <xdr:to>
      <xdr:col>6</xdr:col>
      <xdr:colOff>142875</xdr:colOff>
      <xdr:row>63</xdr:row>
      <xdr:rowOff>95250</xdr:rowOff>
    </xdr:to>
    <xdr:graphicFrame>
      <xdr:nvGraphicFramePr>
        <xdr:cNvPr id="5" name="5 Gráfico"/>
        <xdr:cNvGraphicFramePr/>
      </xdr:nvGraphicFramePr>
      <xdr:xfrm>
        <a:off x="142875" y="93535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552450</xdr:colOff>
      <xdr:row>49</xdr:row>
      <xdr:rowOff>28575</xdr:rowOff>
    </xdr:from>
    <xdr:to>
      <xdr:col>12</xdr:col>
      <xdr:colOff>552450</xdr:colOff>
      <xdr:row>63</xdr:row>
      <xdr:rowOff>104775</xdr:rowOff>
    </xdr:to>
    <xdr:graphicFrame>
      <xdr:nvGraphicFramePr>
        <xdr:cNvPr id="6" name="6 Gráfico"/>
        <xdr:cNvGraphicFramePr/>
      </xdr:nvGraphicFramePr>
      <xdr:xfrm>
        <a:off x="5124450" y="936307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66</xdr:row>
      <xdr:rowOff>0</xdr:rowOff>
    </xdr:from>
    <xdr:to>
      <xdr:col>6</xdr:col>
      <xdr:colOff>95250</xdr:colOff>
      <xdr:row>80</xdr:row>
      <xdr:rowOff>76200</xdr:rowOff>
    </xdr:to>
    <xdr:graphicFrame>
      <xdr:nvGraphicFramePr>
        <xdr:cNvPr id="7" name="7 Gráfico"/>
        <xdr:cNvGraphicFramePr/>
      </xdr:nvGraphicFramePr>
      <xdr:xfrm>
        <a:off x="95250" y="125730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466725</xdr:colOff>
      <xdr:row>66</xdr:row>
      <xdr:rowOff>104775</xdr:rowOff>
    </xdr:from>
    <xdr:to>
      <xdr:col>12</xdr:col>
      <xdr:colOff>466725</xdr:colOff>
      <xdr:row>80</xdr:row>
      <xdr:rowOff>180975</xdr:rowOff>
    </xdr:to>
    <xdr:graphicFrame>
      <xdr:nvGraphicFramePr>
        <xdr:cNvPr id="8" name="8 Gráfico"/>
        <xdr:cNvGraphicFramePr/>
      </xdr:nvGraphicFramePr>
      <xdr:xfrm>
        <a:off x="5038725" y="1267777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15</xdr:row>
      <xdr:rowOff>47625</xdr:rowOff>
    </xdr:from>
    <xdr:to>
      <xdr:col>6</xdr:col>
      <xdr:colOff>47625</xdr:colOff>
      <xdr:row>29</xdr:row>
      <xdr:rowOff>123825</xdr:rowOff>
    </xdr:to>
    <xdr:graphicFrame>
      <xdr:nvGraphicFramePr>
        <xdr:cNvPr id="9" name="10 Gráfico"/>
        <xdr:cNvGraphicFramePr/>
      </xdr:nvGraphicFramePr>
      <xdr:xfrm>
        <a:off x="47625" y="2905125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257175</xdr:colOff>
      <xdr:row>15</xdr:row>
      <xdr:rowOff>66675</xdr:rowOff>
    </xdr:from>
    <xdr:to>
      <xdr:col>12</xdr:col>
      <xdr:colOff>257175</xdr:colOff>
      <xdr:row>29</xdr:row>
      <xdr:rowOff>142875</xdr:rowOff>
    </xdr:to>
    <xdr:graphicFrame>
      <xdr:nvGraphicFramePr>
        <xdr:cNvPr id="10" name="12 Gráfico"/>
        <xdr:cNvGraphicFramePr/>
      </xdr:nvGraphicFramePr>
      <xdr:xfrm>
        <a:off x="4829175" y="2924175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s%20Financier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NVERSION TOTAL"/>
      <sheetName val="FINANCIAMIENTO"/>
      <sheetName val="AMORTIZACION DE CREDITO"/>
      <sheetName val="INGRESO POR VENTAS"/>
      <sheetName val="PLANILLA DE EMPLEADOS"/>
      <sheetName val="GASTOS INDIRECTOS"/>
      <sheetName val="DEPRECIACION"/>
      <sheetName val="PRESUPUESTO DE GASTOS"/>
      <sheetName val="ESTADO DE GANACIAS Y PERDIDAS"/>
      <sheetName val="BALANCE GENERAL"/>
      <sheetName val="BALANCE GENERAL (2)"/>
      <sheetName val="FLUJO DE CAJA ECON FINANCI"/>
      <sheetName val="COSTO BENEFICIO"/>
      <sheetName val="PUNTO DE EQUILIBRIO"/>
      <sheetName val="PRINCIPALES RATIOS"/>
      <sheetName val="PRINCIPALES RATIOS (2)"/>
      <sheetName val="CUADROS DE RATIOS"/>
      <sheetName val="ELAB DE PRECIO"/>
    </sheetNames>
    <sheetDataSet>
      <sheetData sheetId="2">
        <row r="5">
          <cell r="D5">
            <v>50000</v>
          </cell>
        </row>
      </sheetData>
      <sheetData sheetId="3">
        <row r="18">
          <cell r="C18">
            <v>14862.050473183464</v>
          </cell>
        </row>
        <row r="21">
          <cell r="C21">
            <v>12853.421717240168</v>
          </cell>
        </row>
        <row r="24">
          <cell r="C24">
            <v>10807.777271039515</v>
          </cell>
        </row>
        <row r="27">
          <cell r="C27">
            <v>8724.434996918595</v>
          </cell>
        </row>
        <row r="30">
          <cell r="C30">
            <v>6602.7001865508755</v>
          </cell>
        </row>
        <row r="33">
          <cell r="C33">
            <v>4441.865329289751</v>
          </cell>
        </row>
        <row r="36">
          <cell r="C36">
            <v>2241.2098762430624</v>
          </cell>
        </row>
        <row r="39">
          <cell r="C39">
            <v>-1.042508301907219E-10</v>
          </cell>
        </row>
      </sheetData>
      <sheetData sheetId="9">
        <row r="16">
          <cell r="B16">
            <v>158.4714605843638</v>
          </cell>
          <cell r="C16">
            <v>151.97609732368412</v>
          </cell>
          <cell r="D16">
            <v>142.68144299841893</v>
          </cell>
          <cell r="E16">
            <v>177.71340132637874</v>
          </cell>
          <cell r="F16">
            <v>228.08647604807354</v>
          </cell>
          <cell r="G16">
            <v>213.05704592685038</v>
          </cell>
          <cell r="H16">
            <v>182.9014897490333</v>
          </cell>
          <cell r="I16">
            <v>183.65081132406334</v>
          </cell>
          <cell r="J16">
            <v>171.92888948463997</v>
          </cell>
          <cell r="K16">
            <v>229.53360308686288</v>
          </cell>
          <cell r="L16">
            <v>280.3489560103748</v>
          </cell>
          <cell r="M16">
            <v>225.66995215850545</v>
          </cell>
          <cell r="N16">
            <v>159.709320458416</v>
          </cell>
          <cell r="O16">
            <v>153.22151486124446</v>
          </cell>
          <cell r="P16">
            <v>143.9344643422527</v>
          </cell>
          <cell r="Q16">
            <v>178.9740729009726</v>
          </cell>
          <cell r="R16">
            <v>229.35484456135546</v>
          </cell>
          <cell r="S16">
            <v>214.33315837192023</v>
          </cell>
          <cell r="T16">
            <v>184.18539340590385</v>
          </cell>
          <cell r="U16">
            <v>184.9425537614121</v>
          </cell>
          <cell r="V16">
            <v>173.2285185615715</v>
          </cell>
          <cell r="W16">
            <v>230.84116695468202</v>
          </cell>
          <cell r="X16">
            <v>281.6645031143708</v>
          </cell>
          <cell r="Y16">
            <v>226.99353123974652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"/>
  <sheetViews>
    <sheetView showGridLines="0" zoomScale="70" zoomScaleNormal="70" zoomScalePageLayoutView="0" workbookViewId="0" topLeftCell="A1">
      <selection activeCell="H18" sqref="H18"/>
    </sheetView>
  </sheetViews>
  <sheetFormatPr defaultColWidth="11.421875" defaultRowHeight="15"/>
  <cols>
    <col min="1" max="1" width="11.421875" style="119" customWidth="1"/>
    <col min="2" max="2" width="11.57421875" style="119" customWidth="1"/>
    <col min="3" max="3" width="7.421875" style="120" bestFit="1" customWidth="1"/>
    <col min="4" max="6" width="11.421875" style="119" customWidth="1"/>
    <col min="7" max="7" width="23.57421875" style="119" customWidth="1"/>
    <col min="8" max="8" width="6.421875" style="121" customWidth="1"/>
    <col min="9" max="9" width="6.28125" style="122" bestFit="1" customWidth="1"/>
    <col min="10" max="15" width="11.421875" style="119" customWidth="1"/>
    <col min="16" max="16" width="0" style="119" hidden="1" customWidth="1"/>
    <col min="17" max="18" width="11.57421875" style="119" hidden="1" customWidth="1"/>
    <col min="19" max="24" width="0" style="119" hidden="1" customWidth="1"/>
    <col min="25" max="16384" width="11.421875" style="119" customWidth="1"/>
  </cols>
  <sheetData>
    <row r="2" spans="3:15" ht="20.25"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</row>
    <row r="3" spans="17:18" ht="25.5">
      <c r="Q3" s="121"/>
      <c r="R3" s="122"/>
    </row>
    <row r="4" spans="3:21" ht="23.25">
      <c r="C4" s="287">
        <v>1</v>
      </c>
      <c r="D4" s="288" t="s">
        <v>0</v>
      </c>
      <c r="E4" s="288"/>
      <c r="F4" s="288"/>
      <c r="G4" s="288"/>
      <c r="H4" s="289">
        <v>10</v>
      </c>
      <c r="I4" s="287">
        <v>10</v>
      </c>
      <c r="J4" s="288" t="s">
        <v>1</v>
      </c>
      <c r="K4" s="288"/>
      <c r="L4" s="288"/>
      <c r="M4" s="288"/>
      <c r="N4" s="290"/>
      <c r="Q4" s="121">
        <v>10</v>
      </c>
      <c r="R4" s="122">
        <v>21</v>
      </c>
      <c r="S4" s="123" t="s">
        <v>2</v>
      </c>
      <c r="T4" s="123"/>
      <c r="U4" s="123"/>
    </row>
    <row r="5" spans="3:21" ht="23.25">
      <c r="C5" s="287">
        <v>2</v>
      </c>
      <c r="D5" s="288" t="s">
        <v>3</v>
      </c>
      <c r="E5" s="288"/>
      <c r="F5" s="288"/>
      <c r="G5" s="288"/>
      <c r="H5" s="289">
        <v>11</v>
      </c>
      <c r="I5" s="287">
        <v>11</v>
      </c>
      <c r="J5" s="288" t="s">
        <v>516</v>
      </c>
      <c r="K5" s="288"/>
      <c r="L5" s="288"/>
      <c r="M5" s="288"/>
      <c r="N5" s="290"/>
      <c r="Q5" s="121">
        <v>11</v>
      </c>
      <c r="R5" s="122">
        <v>22</v>
      </c>
      <c r="S5" s="123" t="s">
        <v>4</v>
      </c>
      <c r="T5" s="123"/>
      <c r="U5" s="123"/>
    </row>
    <row r="6" spans="3:21" ht="23.25">
      <c r="C6" s="287">
        <v>3</v>
      </c>
      <c r="D6" s="288" t="s">
        <v>5</v>
      </c>
      <c r="E6" s="288"/>
      <c r="F6" s="288"/>
      <c r="G6" s="288"/>
      <c r="H6" s="289">
        <v>12</v>
      </c>
      <c r="I6" s="287">
        <v>12</v>
      </c>
      <c r="J6" s="288" t="s">
        <v>517</v>
      </c>
      <c r="N6" s="290"/>
      <c r="Q6" s="121">
        <v>12</v>
      </c>
      <c r="R6" s="122">
        <v>23</v>
      </c>
      <c r="S6" s="123" t="s">
        <v>7</v>
      </c>
      <c r="T6" s="123"/>
      <c r="U6" s="123"/>
    </row>
    <row r="7" spans="1:21" ht="23.25">
      <c r="A7" s="123"/>
      <c r="C7" s="287">
        <v>4</v>
      </c>
      <c r="D7" s="288" t="s">
        <v>8</v>
      </c>
      <c r="E7" s="288"/>
      <c r="F7" s="288"/>
      <c r="G7" s="288"/>
      <c r="H7" s="289">
        <v>13</v>
      </c>
      <c r="I7" s="287">
        <v>13</v>
      </c>
      <c r="J7" s="288" t="s">
        <v>6</v>
      </c>
      <c r="K7" s="288"/>
      <c r="L7" s="288"/>
      <c r="M7" s="288"/>
      <c r="N7" s="290"/>
      <c r="Q7" s="121">
        <v>13</v>
      </c>
      <c r="R7" s="122">
        <v>24</v>
      </c>
      <c r="S7" s="123" t="s">
        <v>10</v>
      </c>
      <c r="T7" s="123"/>
      <c r="U7" s="123"/>
    </row>
    <row r="8" spans="1:21" ht="23.25">
      <c r="A8" s="123"/>
      <c r="C8" s="287">
        <v>5</v>
      </c>
      <c r="D8" s="288" t="s">
        <v>11</v>
      </c>
      <c r="E8" s="288"/>
      <c r="F8" s="288"/>
      <c r="G8" s="288"/>
      <c r="H8" s="289">
        <v>14</v>
      </c>
      <c r="I8" s="287">
        <v>14</v>
      </c>
      <c r="J8" s="288" t="s">
        <v>9</v>
      </c>
      <c r="K8" s="288"/>
      <c r="L8" s="288"/>
      <c r="M8" s="288"/>
      <c r="N8" s="288"/>
      <c r="O8" s="288"/>
      <c r="Q8" s="121">
        <v>14</v>
      </c>
      <c r="R8" s="122">
        <v>25</v>
      </c>
      <c r="S8" s="123" t="s">
        <v>13</v>
      </c>
      <c r="T8" s="123"/>
      <c r="U8" s="123"/>
    </row>
    <row r="9" spans="1:21" ht="23.25">
      <c r="A9" s="123"/>
      <c r="C9" s="287">
        <v>6</v>
      </c>
      <c r="D9" s="288" t="s">
        <v>14</v>
      </c>
      <c r="E9" s="288"/>
      <c r="F9" s="288"/>
      <c r="G9" s="288"/>
      <c r="H9" s="289">
        <v>15</v>
      </c>
      <c r="I9" s="287">
        <v>15</v>
      </c>
      <c r="J9" s="288" t="s">
        <v>12</v>
      </c>
      <c r="K9" s="288"/>
      <c r="L9" s="288"/>
      <c r="M9" s="288"/>
      <c r="N9" s="288"/>
      <c r="O9" s="288"/>
      <c r="Q9" s="121">
        <v>15</v>
      </c>
      <c r="R9" s="122">
        <v>26</v>
      </c>
      <c r="S9" s="123" t="s">
        <v>15</v>
      </c>
      <c r="T9" s="123"/>
      <c r="U9" s="123"/>
    </row>
    <row r="10" spans="1:21" ht="23.25">
      <c r="A10" s="123"/>
      <c r="C10" s="287">
        <v>7</v>
      </c>
      <c r="D10" s="288" t="s">
        <v>16</v>
      </c>
      <c r="E10" s="288"/>
      <c r="F10" s="288"/>
      <c r="G10" s="288"/>
      <c r="H10" s="289">
        <v>16</v>
      </c>
      <c r="I10" s="287">
        <v>16</v>
      </c>
      <c r="J10" s="288" t="s">
        <v>518</v>
      </c>
      <c r="K10" s="288"/>
      <c r="L10" s="288"/>
      <c r="M10" s="288"/>
      <c r="N10" s="288"/>
      <c r="O10" s="288"/>
      <c r="Q10" s="121">
        <v>16</v>
      </c>
      <c r="R10" s="122">
        <v>27</v>
      </c>
      <c r="S10" s="123" t="s">
        <v>18</v>
      </c>
      <c r="T10" s="123"/>
      <c r="U10" s="123"/>
    </row>
    <row r="11" spans="1:21" ht="23.25">
      <c r="A11" s="123"/>
      <c r="C11" s="287">
        <v>8</v>
      </c>
      <c r="D11" s="288" t="s">
        <v>19</v>
      </c>
      <c r="E11" s="288"/>
      <c r="F11" s="288"/>
      <c r="G11" s="288"/>
      <c r="H11" s="289">
        <v>17</v>
      </c>
      <c r="I11" s="287">
        <v>17</v>
      </c>
      <c r="J11" s="288" t="s">
        <v>17</v>
      </c>
      <c r="K11" s="288"/>
      <c r="L11" s="288"/>
      <c r="M11" s="288"/>
      <c r="N11" s="288"/>
      <c r="O11" s="288"/>
      <c r="Q11" s="121">
        <v>17</v>
      </c>
      <c r="R11" s="122">
        <v>28</v>
      </c>
      <c r="S11" s="123" t="s">
        <v>20</v>
      </c>
      <c r="T11" s="123"/>
      <c r="U11" s="123"/>
    </row>
    <row r="12" spans="1:21" ht="23.25">
      <c r="A12" s="123"/>
      <c r="C12" s="287">
        <v>9</v>
      </c>
      <c r="D12" s="288" t="s">
        <v>21</v>
      </c>
      <c r="E12" s="288"/>
      <c r="F12" s="288"/>
      <c r="G12" s="288"/>
      <c r="H12" s="289">
        <v>18</v>
      </c>
      <c r="I12" s="287">
        <v>18</v>
      </c>
      <c r="J12" s="288" t="s">
        <v>519</v>
      </c>
      <c r="K12" s="288"/>
      <c r="L12" s="288"/>
      <c r="M12" s="288"/>
      <c r="N12" s="288"/>
      <c r="O12" s="288"/>
      <c r="Q12" s="121">
        <v>18</v>
      </c>
      <c r="R12" s="122">
        <v>29</v>
      </c>
      <c r="S12" s="123" t="s">
        <v>22</v>
      </c>
      <c r="T12" s="123"/>
      <c r="U12" s="123"/>
    </row>
    <row r="13" spans="2:22" ht="24" hidden="1" thickBot="1">
      <c r="B13" s="286"/>
      <c r="C13" s="287"/>
      <c r="D13" s="288"/>
      <c r="E13" s="288"/>
      <c r="F13" s="291"/>
      <c r="G13" s="291"/>
      <c r="H13" s="292"/>
      <c r="I13" s="287">
        <v>19</v>
      </c>
      <c r="J13" s="288" t="s">
        <v>520</v>
      </c>
      <c r="K13" s="288"/>
      <c r="L13" s="288"/>
      <c r="M13" s="288"/>
      <c r="N13" s="288"/>
      <c r="O13" s="288"/>
      <c r="Q13" s="126"/>
      <c r="R13" s="127">
        <v>30</v>
      </c>
      <c r="S13" s="125"/>
      <c r="T13" s="124"/>
      <c r="U13" s="124"/>
      <c r="V13" s="124"/>
    </row>
    <row r="14" spans="10:15" ht="25.5">
      <c r="J14" s="288"/>
      <c r="K14" s="288"/>
      <c r="L14" s="288"/>
      <c r="M14" s="288"/>
      <c r="N14" s="288"/>
      <c r="O14" s="288"/>
    </row>
    <row r="15" ht="17.25" customHeight="1">
      <c r="D15" s="123"/>
    </row>
    <row r="16" spans="1:4" ht="23.25">
      <c r="A16" s="128"/>
      <c r="B16" s="128"/>
      <c r="C16" s="129"/>
      <c r="D16" s="128"/>
    </row>
    <row r="17" spans="1:4" ht="23.25">
      <c r="A17" s="128"/>
      <c r="B17" s="128"/>
      <c r="C17" s="129"/>
      <c r="D17" s="128"/>
    </row>
    <row r="18" ht="25.5">
      <c r="A18" s="123"/>
    </row>
  </sheetData>
  <sheetProtection/>
  <mergeCells count="1">
    <mergeCell ref="C2:O2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Y21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26" sqref="N26"/>
    </sheetView>
  </sheetViews>
  <sheetFormatPr defaultColWidth="11.421875" defaultRowHeight="12" customHeight="1"/>
  <cols>
    <col min="1" max="1" width="28.8515625" style="2" customWidth="1"/>
    <col min="2" max="13" width="8.7109375" style="2" customWidth="1"/>
    <col min="14" max="25" width="8.7109375" style="2" bestFit="1" customWidth="1"/>
    <col min="26" max="16384" width="11.421875" style="2" customWidth="1"/>
  </cols>
  <sheetData>
    <row r="1" spans="1:25" ht="12" customHeight="1">
      <c r="A1" s="147" t="s">
        <v>171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:25" ht="12" customHeight="1">
      <c r="A2" s="147"/>
      <c r="B2" s="276" t="s">
        <v>473</v>
      </c>
      <c r="C2" s="276" t="s">
        <v>474</v>
      </c>
      <c r="D2" s="276" t="s">
        <v>475</v>
      </c>
      <c r="E2" s="276" t="s">
        <v>476</v>
      </c>
      <c r="F2" s="276" t="s">
        <v>477</v>
      </c>
      <c r="G2" s="276" t="s">
        <v>478</v>
      </c>
      <c r="H2" s="276" t="s">
        <v>479</v>
      </c>
      <c r="I2" s="276" t="s">
        <v>480</v>
      </c>
      <c r="J2" s="276" t="s">
        <v>481</v>
      </c>
      <c r="K2" s="276" t="s">
        <v>482</v>
      </c>
      <c r="L2" s="276" t="s">
        <v>483</v>
      </c>
      <c r="M2" s="276" t="s">
        <v>484</v>
      </c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5" ht="12" customHeight="1">
      <c r="A3" s="139" t="s">
        <v>160</v>
      </c>
      <c r="B3" s="139">
        <v>1</v>
      </c>
      <c r="C3" s="139">
        <v>2</v>
      </c>
      <c r="D3" s="139">
        <v>3</v>
      </c>
      <c r="E3" s="139">
        <v>4</v>
      </c>
      <c r="F3" s="139">
        <v>5</v>
      </c>
      <c r="G3" s="139">
        <v>6</v>
      </c>
      <c r="H3" s="139">
        <v>7</v>
      </c>
      <c r="I3" s="139">
        <v>8</v>
      </c>
      <c r="J3" s="139">
        <v>9</v>
      </c>
      <c r="K3" s="139">
        <v>10</v>
      </c>
      <c r="L3" s="139">
        <v>11</v>
      </c>
      <c r="M3" s="139">
        <v>12</v>
      </c>
      <c r="N3" s="139">
        <v>13</v>
      </c>
      <c r="O3" s="139">
        <v>14</v>
      </c>
      <c r="P3" s="139">
        <v>15</v>
      </c>
      <c r="Q3" s="139">
        <v>16</v>
      </c>
      <c r="R3" s="139">
        <v>17</v>
      </c>
      <c r="S3" s="139">
        <v>18</v>
      </c>
      <c r="T3" s="139">
        <v>19</v>
      </c>
      <c r="U3" s="139">
        <v>20</v>
      </c>
      <c r="V3" s="139">
        <v>21</v>
      </c>
      <c r="W3" s="139">
        <v>22</v>
      </c>
      <c r="X3" s="139">
        <v>23</v>
      </c>
      <c r="Y3" s="139">
        <v>24</v>
      </c>
    </row>
    <row r="4" spans="1:25" ht="12" customHeight="1">
      <c r="A4" s="148" t="s">
        <v>172</v>
      </c>
      <c r="B4" s="335">
        <f>'INGRESO POR VENTAS'!C31</f>
        <v>37490</v>
      </c>
      <c r="C4" s="335">
        <f>'INGRESO POR VENTAS'!D31</f>
        <v>37400</v>
      </c>
      <c r="D4" s="335">
        <f>'INGRESO POR VENTAS'!E31</f>
        <v>36650</v>
      </c>
      <c r="E4" s="335">
        <f>'INGRESO POR VENTAS'!F31</f>
        <v>41240</v>
      </c>
      <c r="F4" s="335">
        <f>'INGRESO POR VENTAS'!G31</f>
        <v>48690</v>
      </c>
      <c r="G4" s="335">
        <f>'INGRESO POR VENTAS'!H31</f>
        <v>47650</v>
      </c>
      <c r="H4" s="335">
        <f>'INGRESO POR VENTAS'!I31</f>
        <v>50940</v>
      </c>
      <c r="I4" s="335">
        <f>'INGRESO POR VENTAS'!J31</f>
        <v>39840</v>
      </c>
      <c r="J4" s="335">
        <f>'INGRESO POR VENTAS'!K31</f>
        <v>39000</v>
      </c>
      <c r="K4" s="335">
        <f>'INGRESO POR VENTAS'!L31</f>
        <v>47100</v>
      </c>
      <c r="L4" s="335">
        <f>'INGRESO POR VENTAS'!M31</f>
        <v>53050</v>
      </c>
      <c r="M4" s="335">
        <f>'INGRESO POR VENTAS'!N31</f>
        <v>54550</v>
      </c>
      <c r="N4" s="335">
        <f>'INGRESO POR VENTAS'!O31</f>
        <v>37490</v>
      </c>
      <c r="O4" s="335">
        <f>'INGRESO POR VENTAS'!P31</f>
        <v>37400</v>
      </c>
      <c r="P4" s="335">
        <f>'INGRESO POR VENTAS'!Q31</f>
        <v>36650</v>
      </c>
      <c r="Q4" s="335">
        <f>'INGRESO POR VENTAS'!R31</f>
        <v>41240</v>
      </c>
      <c r="R4" s="335">
        <f>'INGRESO POR VENTAS'!S31</f>
        <v>48690</v>
      </c>
      <c r="S4" s="335">
        <f>'INGRESO POR VENTAS'!T31</f>
        <v>47650</v>
      </c>
      <c r="T4" s="335">
        <f>'INGRESO POR VENTAS'!U31</f>
        <v>50940</v>
      </c>
      <c r="U4" s="335">
        <f>'INGRESO POR VENTAS'!V31</f>
        <v>39840</v>
      </c>
      <c r="V4" s="335">
        <f>'INGRESO POR VENTAS'!W31</f>
        <v>39000</v>
      </c>
      <c r="W4" s="335">
        <f>'INGRESO POR VENTAS'!X31</f>
        <v>47100</v>
      </c>
      <c r="X4" s="335">
        <f>'INGRESO POR VENTAS'!Y31</f>
        <v>53050</v>
      </c>
      <c r="Y4" s="335">
        <f>'INGRESO POR VENTAS'!Z31</f>
        <v>54550</v>
      </c>
    </row>
    <row r="5" spans="1:25" ht="12" customHeight="1">
      <c r="A5" s="148" t="s">
        <v>173</v>
      </c>
      <c r="B5" s="336">
        <f>B6+B7+B8</f>
        <v>27603.468</v>
      </c>
      <c r="C5" s="336">
        <f aca="true" t="shared" si="0" ref="C5:Y5">C6+C7+C8</f>
        <v>27748.772</v>
      </c>
      <c r="D5" s="336">
        <f t="shared" si="0"/>
        <v>27336.571999999996</v>
      </c>
      <c r="E5" s="336">
        <f t="shared" si="0"/>
        <v>30529.332</v>
      </c>
      <c r="F5" s="336">
        <f t="shared" si="0"/>
        <v>35958.972</v>
      </c>
      <c r="G5" s="336">
        <f t="shared" si="0"/>
        <v>35606.172</v>
      </c>
      <c r="H5" s="336">
        <f t="shared" si="0"/>
        <v>38743.822</v>
      </c>
      <c r="I5" s="336">
        <f t="shared" si="0"/>
        <v>28971.172</v>
      </c>
      <c r="J5" s="336">
        <f t="shared" si="0"/>
        <v>28604.212</v>
      </c>
      <c r="K5" s="336">
        <f t="shared" si="0"/>
        <v>34404.212</v>
      </c>
      <c r="L5" s="336">
        <f t="shared" si="0"/>
        <v>38325.812</v>
      </c>
      <c r="M5" s="336">
        <f t="shared" si="0"/>
        <v>40736.462</v>
      </c>
      <c r="N5" s="336">
        <f t="shared" si="0"/>
        <v>27536.968</v>
      </c>
      <c r="O5" s="336">
        <f t="shared" si="0"/>
        <v>27710.772</v>
      </c>
      <c r="P5" s="336">
        <f t="shared" si="0"/>
        <v>27336.571999999996</v>
      </c>
      <c r="Q5" s="336">
        <f t="shared" si="0"/>
        <v>30529.332</v>
      </c>
      <c r="R5" s="336">
        <f t="shared" si="0"/>
        <v>35958.972</v>
      </c>
      <c r="S5" s="336">
        <f t="shared" si="0"/>
        <v>35606.172</v>
      </c>
      <c r="T5" s="336">
        <f t="shared" si="0"/>
        <v>38743.822</v>
      </c>
      <c r="U5" s="336">
        <f t="shared" si="0"/>
        <v>28971.172</v>
      </c>
      <c r="V5" s="336">
        <f t="shared" si="0"/>
        <v>28604.212</v>
      </c>
      <c r="W5" s="336">
        <f t="shared" si="0"/>
        <v>34404.212</v>
      </c>
      <c r="X5" s="336">
        <f t="shared" si="0"/>
        <v>38325.812</v>
      </c>
      <c r="Y5" s="336">
        <f t="shared" si="0"/>
        <v>40736.462</v>
      </c>
    </row>
    <row r="6" spans="1:25" ht="12" customHeight="1">
      <c r="A6" s="149" t="s">
        <v>174</v>
      </c>
      <c r="B6" s="337">
        <f>'PRESUPUESTO DE GASTOS'!B33</f>
        <v>3324.5</v>
      </c>
      <c r="C6" s="337">
        <f>'PRESUPUESTO DE GASTOS'!C33</f>
        <v>3324.5</v>
      </c>
      <c r="D6" s="337">
        <f>'PRESUPUESTO DE GASTOS'!D33</f>
        <v>3324.5</v>
      </c>
      <c r="E6" s="337">
        <f>'PRESUPUESTO DE GASTOS'!E33</f>
        <v>3324.5</v>
      </c>
      <c r="F6" s="337">
        <f>'PRESUPUESTO DE GASTOS'!F33</f>
        <v>3324.5</v>
      </c>
      <c r="G6" s="337">
        <f>'PRESUPUESTO DE GASTOS'!G33</f>
        <v>3324.5</v>
      </c>
      <c r="H6" s="337">
        <f>'PRESUPUESTO DE GASTOS'!H33</f>
        <v>4986.75</v>
      </c>
      <c r="I6" s="337">
        <f>'PRESUPUESTO DE GASTOS'!I33</f>
        <v>3324.5</v>
      </c>
      <c r="J6" s="337">
        <f>'PRESUPUESTO DE GASTOS'!J33</f>
        <v>3324.5</v>
      </c>
      <c r="K6" s="337">
        <f>'PRESUPUESTO DE GASTOS'!K33</f>
        <v>3324.5</v>
      </c>
      <c r="L6" s="337">
        <f>'PRESUPUESTO DE GASTOS'!L33</f>
        <v>3324.5</v>
      </c>
      <c r="M6" s="337">
        <f>'PRESUPUESTO DE GASTOS'!M33</f>
        <v>4986.75</v>
      </c>
      <c r="N6" s="337">
        <f>'PRESUPUESTO DE GASTOS'!N33</f>
        <v>3324.5</v>
      </c>
      <c r="O6" s="337">
        <f>'PRESUPUESTO DE GASTOS'!O33</f>
        <v>3324.5</v>
      </c>
      <c r="P6" s="337">
        <f>'PRESUPUESTO DE GASTOS'!P33</f>
        <v>3324.5</v>
      </c>
      <c r="Q6" s="337">
        <f>'PRESUPUESTO DE GASTOS'!Q33</f>
        <v>3324.5</v>
      </c>
      <c r="R6" s="337">
        <f>'PRESUPUESTO DE GASTOS'!R33</f>
        <v>3324.5</v>
      </c>
      <c r="S6" s="337">
        <f>'PRESUPUESTO DE GASTOS'!S33</f>
        <v>3324.5</v>
      </c>
      <c r="T6" s="337">
        <f>'PRESUPUESTO DE GASTOS'!T33</f>
        <v>4986.75</v>
      </c>
      <c r="U6" s="337">
        <f>'PRESUPUESTO DE GASTOS'!U33</f>
        <v>3324.5</v>
      </c>
      <c r="V6" s="337">
        <f>'PRESUPUESTO DE GASTOS'!V33</f>
        <v>3324.5</v>
      </c>
      <c r="W6" s="337">
        <f>'PRESUPUESTO DE GASTOS'!W33</f>
        <v>3324.5</v>
      </c>
      <c r="X6" s="337">
        <f>'PRESUPUESTO DE GASTOS'!X33</f>
        <v>3324.5</v>
      </c>
      <c r="Y6" s="337">
        <f>'PRESUPUESTO DE GASTOS'!Y33</f>
        <v>4986.75</v>
      </c>
    </row>
    <row r="7" spans="1:25" ht="12" customHeight="1">
      <c r="A7" s="150" t="s">
        <v>175</v>
      </c>
      <c r="B7" s="337">
        <f>'PRESUPUESTO DE GASTOS'!B6</f>
        <v>22583.968</v>
      </c>
      <c r="C7" s="337">
        <f>'PRESUPUESTO DE GASTOS'!C6</f>
        <v>22729.272</v>
      </c>
      <c r="D7" s="337">
        <f>'PRESUPUESTO DE GASTOS'!D6</f>
        <v>22317.071999999996</v>
      </c>
      <c r="E7" s="337">
        <f>'PRESUPUESTO DE GASTOS'!E6</f>
        <v>25509.832</v>
      </c>
      <c r="F7" s="337">
        <f>'PRESUPUESTO DE GASTOS'!F6</f>
        <v>30939.472</v>
      </c>
      <c r="G7" s="337">
        <f>'PRESUPUESTO DE GASTOS'!G6</f>
        <v>30586.672</v>
      </c>
      <c r="H7" s="337">
        <f>'PRESUPUESTO DE GASTOS'!H6</f>
        <v>32062.072</v>
      </c>
      <c r="I7" s="337">
        <f>'PRESUPUESTO DE GASTOS'!I6</f>
        <v>23951.672</v>
      </c>
      <c r="J7" s="337">
        <f>'PRESUPUESTO DE GASTOS'!J6</f>
        <v>23584.712</v>
      </c>
      <c r="K7" s="337">
        <f>'PRESUPUESTO DE GASTOS'!K6</f>
        <v>29384.712</v>
      </c>
      <c r="L7" s="337">
        <f>'PRESUPUESTO DE GASTOS'!L6</f>
        <v>33306.312</v>
      </c>
      <c r="M7" s="337">
        <f>'PRESUPUESTO DE GASTOS'!M6</f>
        <v>34054.712</v>
      </c>
      <c r="N7" s="337">
        <f>'PRESUPUESTO DE GASTOS'!N6</f>
        <v>22517.468</v>
      </c>
      <c r="O7" s="337">
        <f>'PRESUPUESTO DE GASTOS'!O6</f>
        <v>22691.272</v>
      </c>
      <c r="P7" s="337">
        <f>'PRESUPUESTO DE GASTOS'!P6</f>
        <v>22317.071999999996</v>
      </c>
      <c r="Q7" s="337">
        <f>'PRESUPUESTO DE GASTOS'!Q6</f>
        <v>25509.832</v>
      </c>
      <c r="R7" s="337">
        <f>'PRESUPUESTO DE GASTOS'!R6</f>
        <v>30939.472</v>
      </c>
      <c r="S7" s="337">
        <f>'PRESUPUESTO DE GASTOS'!S6</f>
        <v>30586.672</v>
      </c>
      <c r="T7" s="337">
        <f>'PRESUPUESTO DE GASTOS'!T6</f>
        <v>32062.072</v>
      </c>
      <c r="U7" s="337">
        <f>'PRESUPUESTO DE GASTOS'!U6</f>
        <v>23951.672</v>
      </c>
      <c r="V7" s="337">
        <f>'PRESUPUESTO DE GASTOS'!V6</f>
        <v>23584.712</v>
      </c>
      <c r="W7" s="337">
        <f>'PRESUPUESTO DE GASTOS'!W6</f>
        <v>29384.712</v>
      </c>
      <c r="X7" s="337">
        <f>'PRESUPUESTO DE GASTOS'!X6</f>
        <v>33306.312</v>
      </c>
      <c r="Y7" s="337">
        <f>'PRESUPUESTO DE GASTOS'!Y6</f>
        <v>34054.712</v>
      </c>
    </row>
    <row r="8" spans="1:25" ht="12" customHeight="1">
      <c r="A8" s="150" t="s">
        <v>176</v>
      </c>
      <c r="B8" s="337">
        <f>'PRESUPUESTO DE GASTOS'!B37</f>
        <v>1695</v>
      </c>
      <c r="C8" s="337">
        <f>'PRESUPUESTO DE GASTOS'!C37</f>
        <v>1695</v>
      </c>
      <c r="D8" s="337">
        <f>'PRESUPUESTO DE GASTOS'!D37</f>
        <v>1695</v>
      </c>
      <c r="E8" s="337">
        <f>'PRESUPUESTO DE GASTOS'!E37</f>
        <v>1695</v>
      </c>
      <c r="F8" s="337">
        <f>'PRESUPUESTO DE GASTOS'!F37</f>
        <v>1695</v>
      </c>
      <c r="G8" s="337">
        <f>'PRESUPUESTO DE GASTOS'!G37</f>
        <v>1695</v>
      </c>
      <c r="H8" s="337">
        <f>'PRESUPUESTO DE GASTOS'!H37</f>
        <v>1695</v>
      </c>
      <c r="I8" s="337">
        <f>'PRESUPUESTO DE GASTOS'!I37</f>
        <v>1695</v>
      </c>
      <c r="J8" s="337">
        <f>'PRESUPUESTO DE GASTOS'!J37</f>
        <v>1695</v>
      </c>
      <c r="K8" s="337">
        <f>'PRESUPUESTO DE GASTOS'!K37</f>
        <v>1695</v>
      </c>
      <c r="L8" s="337">
        <f>'PRESUPUESTO DE GASTOS'!L37</f>
        <v>1695</v>
      </c>
      <c r="M8" s="337">
        <f>'PRESUPUESTO DE GASTOS'!M37</f>
        <v>1695</v>
      </c>
      <c r="N8" s="337">
        <f>'PRESUPUESTO DE GASTOS'!N37</f>
        <v>1695</v>
      </c>
      <c r="O8" s="337">
        <f>'PRESUPUESTO DE GASTOS'!O37</f>
        <v>1695</v>
      </c>
      <c r="P8" s="337">
        <f>'PRESUPUESTO DE GASTOS'!P37</f>
        <v>1695</v>
      </c>
      <c r="Q8" s="337">
        <f>'PRESUPUESTO DE GASTOS'!Q37</f>
        <v>1695</v>
      </c>
      <c r="R8" s="337">
        <f>'PRESUPUESTO DE GASTOS'!R37</f>
        <v>1695</v>
      </c>
      <c r="S8" s="337">
        <f>'PRESUPUESTO DE GASTOS'!S37</f>
        <v>1695</v>
      </c>
      <c r="T8" s="337">
        <f>'PRESUPUESTO DE GASTOS'!T37</f>
        <v>1695</v>
      </c>
      <c r="U8" s="337">
        <f>'PRESUPUESTO DE GASTOS'!U37</f>
        <v>1695</v>
      </c>
      <c r="V8" s="337">
        <f>'PRESUPUESTO DE GASTOS'!V37</f>
        <v>1695</v>
      </c>
      <c r="W8" s="337">
        <f>'PRESUPUESTO DE GASTOS'!W37</f>
        <v>1695</v>
      </c>
      <c r="X8" s="337">
        <f>'PRESUPUESTO DE GASTOS'!X37</f>
        <v>1695</v>
      </c>
      <c r="Y8" s="337">
        <f>'PRESUPUESTO DE GASTOS'!Y37</f>
        <v>1695</v>
      </c>
    </row>
    <row r="9" spans="1:25" ht="12" customHeight="1">
      <c r="A9" s="151" t="s">
        <v>177</v>
      </c>
      <c r="B9" s="336">
        <f>+B4-B5</f>
        <v>9886.532</v>
      </c>
      <c r="C9" s="336">
        <f aca="true" t="shared" si="1" ref="C9:Y9">+C4-C5</f>
        <v>9651.228</v>
      </c>
      <c r="D9" s="336">
        <f t="shared" si="1"/>
        <v>9313.428000000004</v>
      </c>
      <c r="E9" s="336">
        <f t="shared" si="1"/>
        <v>10710.668000000001</v>
      </c>
      <c r="F9" s="336">
        <f t="shared" si="1"/>
        <v>12731.027999999998</v>
      </c>
      <c r="G9" s="336">
        <f t="shared" si="1"/>
        <v>12043.828000000001</v>
      </c>
      <c r="H9" s="336">
        <f t="shared" si="1"/>
        <v>12196.178</v>
      </c>
      <c r="I9" s="336">
        <f t="shared" si="1"/>
        <v>10868.828000000001</v>
      </c>
      <c r="J9" s="336">
        <f t="shared" si="1"/>
        <v>10395.788</v>
      </c>
      <c r="K9" s="336">
        <f t="shared" si="1"/>
        <v>12695.788</v>
      </c>
      <c r="L9" s="336">
        <f t="shared" si="1"/>
        <v>14724.188000000002</v>
      </c>
      <c r="M9" s="336">
        <f t="shared" si="1"/>
        <v>13813.538</v>
      </c>
      <c r="N9" s="336">
        <f t="shared" si="1"/>
        <v>9953.032</v>
      </c>
      <c r="O9" s="336">
        <f t="shared" si="1"/>
        <v>9689.228</v>
      </c>
      <c r="P9" s="336">
        <f t="shared" si="1"/>
        <v>9313.428000000004</v>
      </c>
      <c r="Q9" s="336">
        <f t="shared" si="1"/>
        <v>10710.668000000001</v>
      </c>
      <c r="R9" s="336">
        <f t="shared" si="1"/>
        <v>12731.027999999998</v>
      </c>
      <c r="S9" s="336">
        <f t="shared" si="1"/>
        <v>12043.828000000001</v>
      </c>
      <c r="T9" s="336">
        <f t="shared" si="1"/>
        <v>12196.178</v>
      </c>
      <c r="U9" s="336">
        <f t="shared" si="1"/>
        <v>10868.828000000001</v>
      </c>
      <c r="V9" s="336">
        <f t="shared" si="1"/>
        <v>10395.788</v>
      </c>
      <c r="W9" s="336">
        <f t="shared" si="1"/>
        <v>12695.788</v>
      </c>
      <c r="X9" s="336">
        <f t="shared" si="1"/>
        <v>14724.188000000002</v>
      </c>
      <c r="Y9" s="336">
        <f t="shared" si="1"/>
        <v>13813.538</v>
      </c>
    </row>
    <row r="10" spans="1:25" ht="12" customHeight="1">
      <c r="A10" s="150" t="s">
        <v>178</v>
      </c>
      <c r="B10" s="337">
        <f>'PRESUPUESTO DE GASTOS'!B51</f>
        <v>2644.4548611111113</v>
      </c>
      <c r="C10" s="337">
        <f>'PRESUPUESTO DE GASTOS'!C51</f>
        <v>2644.4548611111113</v>
      </c>
      <c r="D10" s="337">
        <f>'PRESUPUESTO DE GASTOS'!D51</f>
        <v>2644.4548611111113</v>
      </c>
      <c r="E10" s="337">
        <f>'PRESUPUESTO DE GASTOS'!E51</f>
        <v>2644.4548611111113</v>
      </c>
      <c r="F10" s="337">
        <f>'PRESUPUESTO DE GASTOS'!F51</f>
        <v>2644.4548611111113</v>
      </c>
      <c r="G10" s="337">
        <f>'PRESUPUESTO DE GASTOS'!G51</f>
        <v>2644.4548611111113</v>
      </c>
      <c r="H10" s="337">
        <f>'PRESUPUESTO DE GASTOS'!H51</f>
        <v>3925.2048611111113</v>
      </c>
      <c r="I10" s="337">
        <f>'PRESUPUESTO DE GASTOS'!I51</f>
        <v>2644.4548611111113</v>
      </c>
      <c r="J10" s="337">
        <f>'PRESUPUESTO DE GASTOS'!J51</f>
        <v>2644.4548611111113</v>
      </c>
      <c r="K10" s="337">
        <f>'PRESUPUESTO DE GASTOS'!K51</f>
        <v>2644.4548611111113</v>
      </c>
      <c r="L10" s="337">
        <f>'PRESUPUESTO DE GASTOS'!L51</f>
        <v>2644.4548611111113</v>
      </c>
      <c r="M10" s="337">
        <f>'PRESUPUESTO DE GASTOS'!M51</f>
        <v>3925.2048611111113</v>
      </c>
      <c r="N10" s="337">
        <f>'PRESUPUESTO DE GASTOS'!N51</f>
        <v>2644.4548611111113</v>
      </c>
      <c r="O10" s="337">
        <f>'PRESUPUESTO DE GASTOS'!O51</f>
        <v>2644.4548611111113</v>
      </c>
      <c r="P10" s="337">
        <f>'PRESUPUESTO DE GASTOS'!P51</f>
        <v>2644.4548611111113</v>
      </c>
      <c r="Q10" s="337">
        <f>'PRESUPUESTO DE GASTOS'!Q51</f>
        <v>2644.4548611111113</v>
      </c>
      <c r="R10" s="337">
        <f>'PRESUPUESTO DE GASTOS'!R51</f>
        <v>2644.4548611111113</v>
      </c>
      <c r="S10" s="337">
        <f>'PRESUPUESTO DE GASTOS'!S51</f>
        <v>2644.4548611111113</v>
      </c>
      <c r="T10" s="337">
        <f>'PRESUPUESTO DE GASTOS'!T51</f>
        <v>3925.2048611111113</v>
      </c>
      <c r="U10" s="337">
        <f>'PRESUPUESTO DE GASTOS'!U51</f>
        <v>2644.4548611111113</v>
      </c>
      <c r="V10" s="337">
        <f>'PRESUPUESTO DE GASTOS'!V51</f>
        <v>2644.4548611111113</v>
      </c>
      <c r="W10" s="337">
        <f>'PRESUPUESTO DE GASTOS'!W51</f>
        <v>2644.4548611111113</v>
      </c>
      <c r="X10" s="337">
        <f>'PRESUPUESTO DE GASTOS'!X51</f>
        <v>2644.4548611111113</v>
      </c>
      <c r="Y10" s="337">
        <f>'PRESUPUESTO DE GASTOS'!Y51</f>
        <v>3925.2048611111113</v>
      </c>
    </row>
    <row r="11" spans="1:25" ht="12" customHeight="1">
      <c r="A11" s="150" t="s">
        <v>179</v>
      </c>
      <c r="B11" s="337">
        <f>'PRESUPUESTO DE GASTOS'!B46</f>
        <v>370</v>
      </c>
      <c r="C11" s="337">
        <f>'PRESUPUESTO DE GASTOS'!C46</f>
        <v>370</v>
      </c>
      <c r="D11" s="337">
        <f>'PRESUPUESTO DE GASTOS'!D46</f>
        <v>370</v>
      </c>
      <c r="E11" s="337">
        <f>'PRESUPUESTO DE GASTOS'!E46</f>
        <v>370</v>
      </c>
      <c r="F11" s="337">
        <f>'PRESUPUESTO DE GASTOS'!F46</f>
        <v>370</v>
      </c>
      <c r="G11" s="337">
        <f>'PRESUPUESTO DE GASTOS'!G46</f>
        <v>370</v>
      </c>
      <c r="H11" s="337">
        <f>'PRESUPUESTO DE GASTOS'!H46</f>
        <v>370</v>
      </c>
      <c r="I11" s="337">
        <f>'PRESUPUESTO DE GASTOS'!I46</f>
        <v>370</v>
      </c>
      <c r="J11" s="337">
        <f>'PRESUPUESTO DE GASTOS'!J46</f>
        <v>370</v>
      </c>
      <c r="K11" s="337">
        <f>'PRESUPUESTO DE GASTOS'!K46</f>
        <v>370</v>
      </c>
      <c r="L11" s="337">
        <f>'PRESUPUESTO DE GASTOS'!L46</f>
        <v>370</v>
      </c>
      <c r="M11" s="337">
        <f>'PRESUPUESTO DE GASTOS'!M46</f>
        <v>370</v>
      </c>
      <c r="N11" s="337">
        <f>'PRESUPUESTO DE GASTOS'!N46</f>
        <v>370</v>
      </c>
      <c r="O11" s="337">
        <f>'PRESUPUESTO DE GASTOS'!O46</f>
        <v>370</v>
      </c>
      <c r="P11" s="337">
        <f>'PRESUPUESTO DE GASTOS'!P46</f>
        <v>370</v>
      </c>
      <c r="Q11" s="337">
        <f>'PRESUPUESTO DE GASTOS'!Q46</f>
        <v>370</v>
      </c>
      <c r="R11" s="337">
        <f>'PRESUPUESTO DE GASTOS'!R46</f>
        <v>370</v>
      </c>
      <c r="S11" s="337">
        <f>'PRESUPUESTO DE GASTOS'!S46</f>
        <v>370</v>
      </c>
      <c r="T11" s="337">
        <f>'PRESUPUESTO DE GASTOS'!T46</f>
        <v>370</v>
      </c>
      <c r="U11" s="337">
        <f>'PRESUPUESTO DE GASTOS'!U46</f>
        <v>370</v>
      </c>
      <c r="V11" s="337">
        <f>'PRESUPUESTO DE GASTOS'!V46</f>
        <v>370</v>
      </c>
      <c r="W11" s="337">
        <f>'PRESUPUESTO DE GASTOS'!W46</f>
        <v>370</v>
      </c>
      <c r="X11" s="337">
        <f>'PRESUPUESTO DE GASTOS'!X46</f>
        <v>370</v>
      </c>
      <c r="Y11" s="337">
        <f>'PRESUPUESTO DE GASTOS'!Y46</f>
        <v>370</v>
      </c>
    </row>
    <row r="12" spans="1:25" ht="12" customHeight="1">
      <c r="A12" s="151" t="s">
        <v>180</v>
      </c>
      <c r="B12" s="336">
        <f>+B9-B10-B11</f>
        <v>6872.077138888888</v>
      </c>
      <c r="C12" s="336">
        <f aca="true" t="shared" si="2" ref="C12:Y12">+C9-C10-C11</f>
        <v>6636.773138888888</v>
      </c>
      <c r="D12" s="336">
        <f t="shared" si="2"/>
        <v>6298.973138888892</v>
      </c>
      <c r="E12" s="336">
        <f t="shared" si="2"/>
        <v>7696.21313888889</v>
      </c>
      <c r="F12" s="336">
        <f t="shared" si="2"/>
        <v>9716.573138888887</v>
      </c>
      <c r="G12" s="336">
        <f t="shared" si="2"/>
        <v>9029.37313888889</v>
      </c>
      <c r="H12" s="336">
        <f t="shared" si="2"/>
        <v>7900.973138888889</v>
      </c>
      <c r="I12" s="336">
        <f t="shared" si="2"/>
        <v>7854.37313888889</v>
      </c>
      <c r="J12" s="336">
        <f t="shared" si="2"/>
        <v>7381.333138888889</v>
      </c>
      <c r="K12" s="336">
        <f t="shared" si="2"/>
        <v>9681.33313888889</v>
      </c>
      <c r="L12" s="336">
        <f t="shared" si="2"/>
        <v>11709.73313888889</v>
      </c>
      <c r="M12" s="336">
        <f t="shared" si="2"/>
        <v>9518.33313888889</v>
      </c>
      <c r="N12" s="336">
        <f t="shared" si="2"/>
        <v>6938.577138888888</v>
      </c>
      <c r="O12" s="336">
        <f t="shared" si="2"/>
        <v>6674.773138888888</v>
      </c>
      <c r="P12" s="336">
        <f t="shared" si="2"/>
        <v>6298.973138888892</v>
      </c>
      <c r="Q12" s="336">
        <f t="shared" si="2"/>
        <v>7696.21313888889</v>
      </c>
      <c r="R12" s="336">
        <f t="shared" si="2"/>
        <v>9716.573138888887</v>
      </c>
      <c r="S12" s="336">
        <f t="shared" si="2"/>
        <v>9029.37313888889</v>
      </c>
      <c r="T12" s="336">
        <f t="shared" si="2"/>
        <v>7900.973138888889</v>
      </c>
      <c r="U12" s="336">
        <f t="shared" si="2"/>
        <v>7854.37313888889</v>
      </c>
      <c r="V12" s="336">
        <f t="shared" si="2"/>
        <v>7381.333138888889</v>
      </c>
      <c r="W12" s="336">
        <f t="shared" si="2"/>
        <v>9681.33313888889</v>
      </c>
      <c r="X12" s="336">
        <f t="shared" si="2"/>
        <v>11709.73313888889</v>
      </c>
      <c r="Y12" s="336">
        <f t="shared" si="2"/>
        <v>9518.33313888889</v>
      </c>
    </row>
    <row r="13" spans="1:25" ht="12" customHeight="1">
      <c r="A13" s="150" t="s">
        <v>181</v>
      </c>
      <c r="B13" s="337">
        <f>'AMORTIZACION DE CREDITO'!E16</f>
        <v>102.78079884767294</v>
      </c>
      <c r="C13" s="337">
        <f>'AMORTIZACION DE CREDITO'!E17</f>
        <v>98.791329274855</v>
      </c>
      <c r="D13" s="337">
        <f>'AMORTIZACION DE CREDITO'!E18</f>
        <v>94.77750228546734</v>
      </c>
      <c r="E13" s="337">
        <f>'AMORTIZACION DE CREDITO'!E19</f>
        <v>90.7391691670731</v>
      </c>
      <c r="F13" s="337">
        <f>'AMORTIZACION DE CREDITO'!E20</f>
        <v>86.67618029928269</v>
      </c>
      <c r="G13" s="337">
        <f>'AMORTIZACION DE CREDITO'!E21</f>
        <v>82.58838514820945</v>
      </c>
      <c r="H13" s="337">
        <f>'AMORTIZACION DE CREDITO'!E22</f>
        <v>78.4756322608938</v>
      </c>
      <c r="I13" s="337">
        <f>'AMORTIZACION DE CREDITO'!E23</f>
        <v>74.3377692596905</v>
      </c>
      <c r="J13" s="337">
        <f>'AMORTIZACION DE CREDITO'!E24</f>
        <v>70.174642836624</v>
      </c>
      <c r="K13" s="337">
        <f>'AMORTIZACION DE CREDITO'!E25</f>
        <v>65.98609874770784</v>
      </c>
      <c r="L13" s="337">
        <f>'AMORTIZACION DE CREDITO'!E26</f>
        <v>61.77198180723053</v>
      </c>
      <c r="M13" s="337">
        <f>'AMORTIZACION DE CREDITO'!E27</f>
        <v>57.53213588200481</v>
      </c>
      <c r="N13" s="337">
        <f>'AMORTIZACION DE CREDITO'!E28</f>
        <v>53.26640388558428</v>
      </c>
      <c r="O13" s="337">
        <f>'AMORTIZACION DE CREDITO'!E29</f>
        <v>48.974627772442204</v>
      </c>
      <c r="P13" s="337">
        <f>'AMORTIZACION DE CREDITO'!E30</f>
        <v>44.656648532116606</v>
      </c>
      <c r="Q13" s="337">
        <f>'AMORTIZACION DE CREDITO'!E31</f>
        <v>40.31230618331847</v>
      </c>
      <c r="R13" s="337">
        <f>'AMORTIZACION DE CREDITO'!E32</f>
        <v>35.9414397680049</v>
      </c>
      <c r="S13" s="337">
        <f>'AMORTIZACION DE CREDITO'!E33</f>
        <v>31.5438873454151</v>
      </c>
      <c r="T13" s="337">
        <f>'AMORTIZACION DE CREDITO'!E34</f>
        <v>27.119485986071027</v>
      </c>
      <c r="U13" s="337">
        <f>'AMORTIZACION DE CREDITO'!E35</f>
        <v>22.668071765740365</v>
      </c>
      <c r="V13" s="337">
        <f>'AMORTIZACION DE CREDITO'!E36</f>
        <v>18.189479759363167</v>
      </c>
      <c r="W13" s="337">
        <f>'AMORTIZACION DE CREDITO'!E37</f>
        <v>13.68354403494186</v>
      </c>
      <c r="X13" s="337">
        <f>'AMORTIZACION DE CREDITO'!E38</f>
        <v>9.15009764739284</v>
      </c>
      <c r="Y13" s="337">
        <f>'AMORTIZACION DE CREDITO'!E39</f>
        <v>4.5889726323615605</v>
      </c>
    </row>
    <row r="14" spans="1:25" ht="12" customHeight="1">
      <c r="A14" s="150" t="s">
        <v>182</v>
      </c>
      <c r="B14" s="337">
        <f>'PRESUPUESTO DE GASTOS'!B54</f>
        <v>82.95486111111111</v>
      </c>
      <c r="C14" s="337">
        <f>'PRESUPUESTO DE GASTOS'!C54</f>
        <v>82.95486111111111</v>
      </c>
      <c r="D14" s="337">
        <f>'PRESUPUESTO DE GASTOS'!D54</f>
        <v>82.95486111111111</v>
      </c>
      <c r="E14" s="337">
        <f>'PRESUPUESTO DE GASTOS'!E54</f>
        <v>82.95486111111111</v>
      </c>
      <c r="F14" s="337">
        <f>'PRESUPUESTO DE GASTOS'!F54</f>
        <v>82.95486111111111</v>
      </c>
      <c r="G14" s="337">
        <f>'PRESUPUESTO DE GASTOS'!G54</f>
        <v>82.95486111111111</v>
      </c>
      <c r="H14" s="337">
        <f>'PRESUPUESTO DE GASTOS'!H54</f>
        <v>82.95486111111111</v>
      </c>
      <c r="I14" s="337">
        <f>'PRESUPUESTO DE GASTOS'!I54</f>
        <v>82.95486111111111</v>
      </c>
      <c r="J14" s="337">
        <f>'PRESUPUESTO DE GASTOS'!J54</f>
        <v>82.95486111111111</v>
      </c>
      <c r="K14" s="337">
        <f>'PRESUPUESTO DE GASTOS'!K54</f>
        <v>82.95486111111111</v>
      </c>
      <c r="L14" s="337">
        <f>'PRESUPUESTO DE GASTOS'!L54</f>
        <v>82.95486111111111</v>
      </c>
      <c r="M14" s="337">
        <f>'PRESUPUESTO DE GASTOS'!M54</f>
        <v>82.95486111111111</v>
      </c>
      <c r="N14" s="337">
        <f>'PRESUPUESTO DE GASTOS'!N54</f>
        <v>82.95486111111111</v>
      </c>
      <c r="O14" s="337">
        <f>'PRESUPUESTO DE GASTOS'!O54</f>
        <v>82.95486111111111</v>
      </c>
      <c r="P14" s="337">
        <f>'PRESUPUESTO DE GASTOS'!P54</f>
        <v>82.95486111111111</v>
      </c>
      <c r="Q14" s="337">
        <f>'PRESUPUESTO DE GASTOS'!Q54</f>
        <v>82.95486111111111</v>
      </c>
      <c r="R14" s="337">
        <f>'PRESUPUESTO DE GASTOS'!R54</f>
        <v>82.95486111111111</v>
      </c>
      <c r="S14" s="337">
        <f>'PRESUPUESTO DE GASTOS'!S54</f>
        <v>82.95486111111111</v>
      </c>
      <c r="T14" s="337">
        <f>'PRESUPUESTO DE GASTOS'!T54</f>
        <v>82.95486111111111</v>
      </c>
      <c r="U14" s="337">
        <f>'PRESUPUESTO DE GASTOS'!U54</f>
        <v>82.95486111111111</v>
      </c>
      <c r="V14" s="337">
        <f>'PRESUPUESTO DE GASTOS'!V54</f>
        <v>82.95486111111111</v>
      </c>
      <c r="W14" s="337">
        <f>'PRESUPUESTO DE GASTOS'!W54</f>
        <v>82.95486111111111</v>
      </c>
      <c r="X14" s="337">
        <f>'PRESUPUESTO DE GASTOS'!X54</f>
        <v>82.95486111111111</v>
      </c>
      <c r="Y14" s="337">
        <f>'PRESUPUESTO DE GASTOS'!Y54</f>
        <v>82.95486111111111</v>
      </c>
    </row>
    <row r="15" spans="1:25" ht="12" customHeight="1">
      <c r="A15" s="152" t="s">
        <v>183</v>
      </c>
      <c r="B15" s="336">
        <f>+B12-B13-B14</f>
        <v>6686.341478930104</v>
      </c>
      <c r="C15" s="336">
        <f aca="true" t="shared" si="3" ref="C15:Y15">+C12-C13-C14</f>
        <v>6455.026948502921</v>
      </c>
      <c r="D15" s="336">
        <f t="shared" si="3"/>
        <v>6121.240775492313</v>
      </c>
      <c r="E15" s="336">
        <f t="shared" si="3"/>
        <v>7522.519108610706</v>
      </c>
      <c r="F15" s="336">
        <f t="shared" si="3"/>
        <v>9546.942097478493</v>
      </c>
      <c r="G15" s="336">
        <f t="shared" si="3"/>
        <v>8863.82989262957</v>
      </c>
      <c r="H15" s="336">
        <f t="shared" si="3"/>
        <v>7739.542645516884</v>
      </c>
      <c r="I15" s="336">
        <f t="shared" si="3"/>
        <v>7697.080508518088</v>
      </c>
      <c r="J15" s="336">
        <f t="shared" si="3"/>
        <v>7228.203634941154</v>
      </c>
      <c r="K15" s="336">
        <f t="shared" si="3"/>
        <v>9532.39217903007</v>
      </c>
      <c r="L15" s="336">
        <f t="shared" si="3"/>
        <v>11565.006295970548</v>
      </c>
      <c r="M15" s="336">
        <f t="shared" si="3"/>
        <v>9377.846141895772</v>
      </c>
      <c r="N15" s="336">
        <f t="shared" si="3"/>
        <v>6802.355873892192</v>
      </c>
      <c r="O15" s="336">
        <f t="shared" si="3"/>
        <v>6542.843650005334</v>
      </c>
      <c r="P15" s="336">
        <f t="shared" si="3"/>
        <v>6171.3616292456645</v>
      </c>
      <c r="Q15" s="336">
        <f t="shared" si="3"/>
        <v>7572.94597159446</v>
      </c>
      <c r="R15" s="336">
        <f t="shared" si="3"/>
        <v>9597.676838009771</v>
      </c>
      <c r="S15" s="336">
        <f t="shared" si="3"/>
        <v>8914.874390432364</v>
      </c>
      <c r="T15" s="336">
        <f t="shared" si="3"/>
        <v>7790.898791791707</v>
      </c>
      <c r="U15" s="336">
        <f t="shared" si="3"/>
        <v>7748.750206012039</v>
      </c>
      <c r="V15" s="336">
        <f t="shared" si="3"/>
        <v>7280.188798018415</v>
      </c>
      <c r="W15" s="336">
        <f t="shared" si="3"/>
        <v>9584.694733742836</v>
      </c>
      <c r="X15" s="336">
        <f t="shared" si="3"/>
        <v>11617.628180130387</v>
      </c>
      <c r="Y15" s="336">
        <f t="shared" si="3"/>
        <v>9430.789305145416</v>
      </c>
    </row>
    <row r="16" spans="1:25" ht="12" customHeight="1">
      <c r="A16" s="149" t="s">
        <v>184</v>
      </c>
      <c r="B16" s="337">
        <f>IF(B15&gt;1,B15*0.025,0)</f>
        <v>167.1585369732526</v>
      </c>
      <c r="C16" s="337">
        <f aca="true" t="shared" si="4" ref="C16:Y16">IF(C15&gt;1,C15*0.025,0)</f>
        <v>161.37567371257305</v>
      </c>
      <c r="D16" s="337">
        <f t="shared" si="4"/>
        <v>153.03101938730785</v>
      </c>
      <c r="E16" s="337">
        <f t="shared" si="4"/>
        <v>188.06297771526766</v>
      </c>
      <c r="F16" s="337">
        <f t="shared" si="4"/>
        <v>238.67355243696235</v>
      </c>
      <c r="G16" s="337">
        <f t="shared" si="4"/>
        <v>221.59574731573926</v>
      </c>
      <c r="H16" s="337">
        <f t="shared" si="4"/>
        <v>193.4885661379221</v>
      </c>
      <c r="I16" s="337">
        <f t="shared" si="4"/>
        <v>192.4270127129522</v>
      </c>
      <c r="J16" s="337">
        <f t="shared" si="4"/>
        <v>180.70509087352886</v>
      </c>
      <c r="K16" s="337">
        <f t="shared" si="4"/>
        <v>238.30980447575178</v>
      </c>
      <c r="L16" s="337">
        <f t="shared" si="4"/>
        <v>289.12515739926374</v>
      </c>
      <c r="M16" s="337">
        <f t="shared" si="4"/>
        <v>234.44615354739432</v>
      </c>
      <c r="N16" s="337">
        <f t="shared" si="4"/>
        <v>170.05889684730482</v>
      </c>
      <c r="O16" s="337">
        <f t="shared" si="4"/>
        <v>163.57109125013335</v>
      </c>
      <c r="P16" s="337">
        <f t="shared" si="4"/>
        <v>154.28404073114163</v>
      </c>
      <c r="Q16" s="337">
        <f t="shared" si="4"/>
        <v>189.32364928986152</v>
      </c>
      <c r="R16" s="337">
        <f t="shared" si="4"/>
        <v>239.94192095024428</v>
      </c>
      <c r="S16" s="337">
        <f t="shared" si="4"/>
        <v>222.87185976080912</v>
      </c>
      <c r="T16" s="337">
        <f t="shared" si="4"/>
        <v>194.77246979479267</v>
      </c>
      <c r="U16" s="337">
        <f t="shared" si="4"/>
        <v>193.71875515030098</v>
      </c>
      <c r="V16" s="337">
        <f t="shared" si="4"/>
        <v>182.00471995046038</v>
      </c>
      <c r="W16" s="337">
        <f t="shared" si="4"/>
        <v>239.6173683435709</v>
      </c>
      <c r="X16" s="337">
        <f t="shared" si="4"/>
        <v>290.44070450325967</v>
      </c>
      <c r="Y16" s="337">
        <f t="shared" si="4"/>
        <v>235.7697326286354</v>
      </c>
    </row>
    <row r="17" spans="1:25" ht="12" customHeight="1">
      <c r="A17" s="153" t="s">
        <v>185</v>
      </c>
      <c r="B17" s="338">
        <f>B15-B16</f>
        <v>6519.182941956851</v>
      </c>
      <c r="C17" s="338">
        <f aca="true" t="shared" si="5" ref="C17:Y17">C15-C16</f>
        <v>6293.651274790348</v>
      </c>
      <c r="D17" s="338">
        <f t="shared" si="5"/>
        <v>5968.209756105006</v>
      </c>
      <c r="E17" s="338">
        <f t="shared" si="5"/>
        <v>7334.456130895438</v>
      </c>
      <c r="F17" s="338">
        <f t="shared" si="5"/>
        <v>9308.268545041532</v>
      </c>
      <c r="G17" s="338">
        <f t="shared" si="5"/>
        <v>8642.23414531383</v>
      </c>
      <c r="H17" s="338">
        <f t="shared" si="5"/>
        <v>7546.054079378961</v>
      </c>
      <c r="I17" s="338">
        <f t="shared" si="5"/>
        <v>7504.653495805136</v>
      </c>
      <c r="J17" s="338">
        <f t="shared" si="5"/>
        <v>7047.498544067625</v>
      </c>
      <c r="K17" s="338">
        <f t="shared" si="5"/>
        <v>9294.082374554318</v>
      </c>
      <c r="L17" s="338">
        <f t="shared" si="5"/>
        <v>11275.881138571285</v>
      </c>
      <c r="M17" s="338">
        <f t="shared" si="5"/>
        <v>9143.399988348378</v>
      </c>
      <c r="N17" s="338">
        <f t="shared" si="5"/>
        <v>6632.296977044887</v>
      </c>
      <c r="O17" s="338">
        <f t="shared" si="5"/>
        <v>6379.2725587552</v>
      </c>
      <c r="P17" s="338">
        <f t="shared" si="5"/>
        <v>6017.077588514523</v>
      </c>
      <c r="Q17" s="338">
        <f t="shared" si="5"/>
        <v>7383.622322304599</v>
      </c>
      <c r="R17" s="338">
        <f t="shared" si="5"/>
        <v>9357.734917059526</v>
      </c>
      <c r="S17" s="338">
        <f t="shared" si="5"/>
        <v>8692.002530671554</v>
      </c>
      <c r="T17" s="338">
        <f t="shared" si="5"/>
        <v>7596.126321996914</v>
      </c>
      <c r="U17" s="338">
        <f t="shared" si="5"/>
        <v>7555.0314508617375</v>
      </c>
      <c r="V17" s="338">
        <f t="shared" si="5"/>
        <v>7098.184078067954</v>
      </c>
      <c r="W17" s="338">
        <f t="shared" si="5"/>
        <v>9345.077365399266</v>
      </c>
      <c r="X17" s="338">
        <f t="shared" si="5"/>
        <v>11327.187475627126</v>
      </c>
      <c r="Y17" s="338">
        <f t="shared" si="5"/>
        <v>9195.01957251678</v>
      </c>
    </row>
    <row r="18" spans="1:25" ht="12" customHeight="1">
      <c r="A18" s="151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</row>
    <row r="19" spans="1:25" ht="22.5">
      <c r="A19" s="155" t="s">
        <v>186</v>
      </c>
      <c r="B19" s="283">
        <f>B17/B4*100</f>
        <v>17.38912494520366</v>
      </c>
      <c r="C19" s="283">
        <f aca="true" t="shared" si="6" ref="C19:Y19">C17/C4*100</f>
        <v>16.82794458500093</v>
      </c>
      <c r="D19" s="283">
        <f t="shared" si="6"/>
        <v>16.28433767013644</v>
      </c>
      <c r="E19" s="283">
        <f t="shared" si="6"/>
        <v>17.784811180638794</v>
      </c>
      <c r="F19" s="283">
        <f t="shared" si="6"/>
        <v>19.11741331904196</v>
      </c>
      <c r="G19" s="283">
        <f t="shared" si="6"/>
        <v>18.13690271839209</v>
      </c>
      <c r="H19" s="283">
        <f t="shared" si="6"/>
        <v>14.813612248486379</v>
      </c>
      <c r="I19" s="283">
        <f t="shared" si="6"/>
        <v>18.83698166617755</v>
      </c>
      <c r="J19" s="283">
        <f t="shared" si="6"/>
        <v>18.070509087352885</v>
      </c>
      <c r="K19" s="283">
        <f t="shared" si="6"/>
        <v>19.732658969329762</v>
      </c>
      <c r="L19" s="283">
        <f t="shared" si="6"/>
        <v>21.255195360172074</v>
      </c>
      <c r="M19" s="283">
        <f t="shared" si="6"/>
        <v>16.761503186706467</v>
      </c>
      <c r="N19" s="283">
        <f t="shared" si="6"/>
        <v>17.690842830207753</v>
      </c>
      <c r="O19" s="283">
        <f t="shared" si="6"/>
        <v>17.05687849934546</v>
      </c>
      <c r="P19" s="283">
        <f t="shared" si="6"/>
        <v>16.417674184214253</v>
      </c>
      <c r="Q19" s="283">
        <f t="shared" si="6"/>
        <v>17.90403084942919</v>
      </c>
      <c r="R19" s="283">
        <f t="shared" si="6"/>
        <v>19.219007839514326</v>
      </c>
      <c r="S19" s="283">
        <f t="shared" si="6"/>
        <v>18.241348437925613</v>
      </c>
      <c r="T19" s="283">
        <f t="shared" si="6"/>
        <v>14.911908759318637</v>
      </c>
      <c r="U19" s="283">
        <f t="shared" si="6"/>
        <v>18.963432356580668</v>
      </c>
      <c r="V19" s="283">
        <f t="shared" si="6"/>
        <v>18.200471995046037</v>
      </c>
      <c r="W19" s="283">
        <f t="shared" si="6"/>
        <v>19.8409285889581</v>
      </c>
      <c r="X19" s="283">
        <f t="shared" si="6"/>
        <v>21.351908530871114</v>
      </c>
      <c r="Y19" s="283">
        <f t="shared" si="6"/>
        <v>16.856131205346983</v>
      </c>
    </row>
    <row r="20" spans="2:11" ht="12" customHeight="1">
      <c r="B20" s="156"/>
      <c r="C20" s="156"/>
      <c r="D20" s="156"/>
      <c r="E20" s="156"/>
      <c r="F20" s="156"/>
      <c r="G20" s="156"/>
      <c r="H20" s="156"/>
      <c r="I20" s="156"/>
      <c r="J20" s="156"/>
      <c r="K20" s="156"/>
    </row>
    <row r="21" spans="2:25" ht="12" customHeight="1"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</row>
    <row r="22" spans="2:25" ht="12" customHeight="1"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</row>
    <row r="23" spans="1:25" ht="12" customHeight="1">
      <c r="A23" s="107"/>
      <c r="B23" s="389"/>
      <c r="C23" s="388"/>
      <c r="D23" s="389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</row>
    <row r="24" spans="1:25" ht="12" customHeight="1">
      <c r="A24" s="107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</row>
    <row r="25" spans="2:25" ht="12" customHeight="1"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</row>
    <row r="26" spans="2:25" ht="12" customHeight="1"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</row>
    <row r="27" spans="2:25" ht="12" customHeight="1"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</row>
    <row r="28" spans="1:25" ht="12" customHeight="1">
      <c r="A28" s="107"/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</row>
    <row r="29" spans="1:25" ht="12" customHeight="1">
      <c r="A29" s="107"/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</row>
    <row r="30" spans="1:25" ht="12" customHeight="1">
      <c r="A30" s="107"/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</row>
    <row r="31" spans="1:25" ht="12" customHeight="1">
      <c r="A31" s="107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</row>
    <row r="32" spans="1:25" ht="12" customHeight="1">
      <c r="A32" s="107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</row>
    <row r="33" spans="1:25" ht="12" customHeight="1">
      <c r="A33" s="107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</row>
    <row r="34" spans="1:25" ht="12" customHeight="1">
      <c r="A34" s="107"/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</row>
    <row r="35" spans="1:25" ht="12" customHeight="1">
      <c r="A35" s="107"/>
      <c r="B35" s="389"/>
      <c r="C35" s="389"/>
      <c r="D35" s="389"/>
      <c r="E35" s="389"/>
      <c r="F35" s="389"/>
      <c r="G35" s="389"/>
      <c r="H35" s="389"/>
      <c r="I35" s="389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</row>
    <row r="36" spans="1:25" ht="12" customHeight="1">
      <c r="A36" s="107"/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</row>
    <row r="37" spans="1:25" ht="12" customHeight="1">
      <c r="A37" s="107"/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</row>
    <row r="38" spans="1:25" ht="12" customHeight="1">
      <c r="A38" s="107"/>
      <c r="B38" s="390"/>
      <c r="C38" s="390"/>
      <c r="D38" s="390"/>
      <c r="E38" s="390"/>
      <c r="F38" s="390"/>
      <c r="G38" s="390"/>
      <c r="H38" s="390"/>
      <c r="I38" s="390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</row>
    <row r="39" spans="2:25" ht="12" customHeight="1"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</row>
    <row r="40" spans="2:25" ht="12" customHeight="1"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</row>
    <row r="41" spans="2:25" ht="12" customHeight="1"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</row>
    <row r="42" spans="2:25" ht="12" customHeight="1"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</row>
    <row r="43" spans="2:25" ht="12" customHeight="1"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</row>
    <row r="44" spans="2:25" ht="12" customHeight="1"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</row>
    <row r="45" spans="2:25" ht="12" customHeight="1"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</row>
    <row r="46" spans="2:25" ht="12" customHeight="1"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</row>
    <row r="47" spans="2:25" ht="12" customHeight="1"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</row>
    <row r="48" spans="2:25" ht="12" customHeight="1"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</row>
    <row r="49" spans="2:25" ht="12" customHeight="1"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</row>
    <row r="50" spans="2:25" ht="12" customHeight="1"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</row>
    <row r="51" spans="2:25" ht="12" customHeight="1"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</row>
    <row r="52" spans="2:25" ht="12" customHeight="1"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</row>
    <row r="53" spans="2:25" ht="12" customHeight="1"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</row>
    <row r="54" spans="2:25" ht="12" customHeight="1"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</row>
    <row r="55" spans="2:25" ht="12" customHeight="1"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</row>
    <row r="56" spans="2:25" ht="12" customHeight="1"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88"/>
      <c r="S56" s="388"/>
      <c r="T56" s="388"/>
      <c r="U56" s="388"/>
      <c r="V56" s="388"/>
      <c r="W56" s="388"/>
      <c r="X56" s="388"/>
      <c r="Y56" s="388"/>
    </row>
    <row r="57" spans="2:25" ht="12" customHeight="1">
      <c r="B57" s="388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</row>
    <row r="58" spans="2:25" ht="12" customHeight="1"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</row>
    <row r="59" spans="2:25" ht="12" customHeight="1"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</row>
    <row r="60" spans="2:25" ht="12" customHeight="1"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</row>
    <row r="61" spans="2:25" ht="12" customHeight="1">
      <c r="B61" s="388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</row>
    <row r="62" spans="2:25" ht="12" customHeight="1"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</row>
    <row r="63" spans="2:25" ht="12" customHeight="1"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388"/>
      <c r="X63" s="388"/>
      <c r="Y63" s="388"/>
    </row>
    <row r="64" spans="2:25" ht="12" customHeight="1"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</row>
    <row r="65" spans="2:25" ht="12" customHeight="1"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</row>
    <row r="66" spans="2:25" ht="12" customHeight="1"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</row>
    <row r="67" spans="2:25" ht="12" customHeight="1"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</row>
    <row r="68" spans="2:25" ht="12" customHeight="1"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</row>
    <row r="69" spans="2:25" ht="12" customHeight="1"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388"/>
      <c r="V69" s="388"/>
      <c r="W69" s="388"/>
      <c r="X69" s="388"/>
      <c r="Y69" s="388"/>
    </row>
    <row r="70" spans="2:25" ht="12" customHeight="1"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</row>
    <row r="71" spans="2:25" ht="12" customHeight="1"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</row>
    <row r="72" spans="2:25" ht="12" customHeight="1"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</row>
    <row r="73" spans="2:25" ht="12" customHeight="1"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88"/>
      <c r="W73" s="388"/>
      <c r="X73" s="388"/>
      <c r="Y73" s="388"/>
    </row>
    <row r="74" spans="2:25" ht="12" customHeight="1"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</row>
    <row r="75" spans="2:25" ht="12" customHeight="1"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</row>
    <row r="76" spans="2:25" ht="12" customHeight="1"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</row>
    <row r="77" spans="2:25" ht="12" customHeight="1"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</row>
    <row r="78" spans="2:25" ht="12" customHeight="1"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</row>
    <row r="79" spans="2:25" ht="12" customHeight="1">
      <c r="B79" s="388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/>
      <c r="U79" s="388"/>
      <c r="V79" s="388"/>
      <c r="W79" s="388"/>
      <c r="X79" s="388"/>
      <c r="Y79" s="388"/>
    </row>
    <row r="80" spans="2:25" ht="12" customHeight="1">
      <c r="B80" s="388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88"/>
      <c r="S80" s="388"/>
      <c r="T80" s="388"/>
      <c r="U80" s="388"/>
      <c r="V80" s="388"/>
      <c r="W80" s="388"/>
      <c r="X80" s="388"/>
      <c r="Y80" s="388"/>
    </row>
    <row r="81" spans="2:25" ht="12" customHeight="1">
      <c r="B81" s="388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8"/>
      <c r="S81" s="388"/>
      <c r="T81" s="388"/>
      <c r="U81" s="388"/>
      <c r="V81" s="388"/>
      <c r="W81" s="388"/>
      <c r="X81" s="388"/>
      <c r="Y81" s="388"/>
    </row>
    <row r="82" spans="2:25" ht="12" customHeight="1"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</row>
    <row r="83" spans="2:25" ht="12" customHeight="1">
      <c r="B83" s="388"/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8"/>
    </row>
    <row r="84" spans="2:25" ht="12" customHeight="1"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</row>
    <row r="85" spans="2:25" ht="12" customHeight="1"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</row>
    <row r="86" spans="2:25" ht="12" customHeight="1"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</row>
    <row r="87" spans="2:25" ht="12" customHeight="1"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</row>
    <row r="88" spans="2:25" ht="12" customHeight="1">
      <c r="B88" s="388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</row>
    <row r="89" spans="2:25" ht="12" customHeight="1">
      <c r="B89" s="388"/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</row>
    <row r="90" spans="2:25" ht="12" customHeight="1"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</row>
    <row r="91" spans="2:25" ht="12" customHeight="1"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</row>
    <row r="92" spans="2:25" ht="12" customHeight="1">
      <c r="B92" s="388"/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</row>
    <row r="93" spans="2:25" ht="12" customHeight="1">
      <c r="B93" s="388"/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</row>
    <row r="94" spans="2:25" ht="12" customHeight="1">
      <c r="B94" s="388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</row>
    <row r="95" spans="2:25" ht="12" customHeight="1">
      <c r="B95" s="388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</row>
    <row r="96" spans="2:25" ht="12" customHeight="1">
      <c r="B96" s="388"/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</row>
    <row r="97" spans="2:25" ht="12" customHeight="1">
      <c r="B97" s="388"/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</row>
    <row r="98" spans="2:25" ht="12" customHeight="1">
      <c r="B98" s="388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</row>
    <row r="99" spans="2:25" ht="12" customHeight="1">
      <c r="B99" s="388"/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</row>
    <row r="100" spans="2:25" ht="12" customHeight="1">
      <c r="B100" s="388"/>
      <c r="C100" s="388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8"/>
    </row>
    <row r="101" spans="2:25" ht="12" customHeight="1">
      <c r="B101" s="388"/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8"/>
    </row>
    <row r="102" spans="2:25" ht="12" customHeight="1">
      <c r="B102" s="388"/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8"/>
      <c r="U102" s="388"/>
      <c r="V102" s="388"/>
      <c r="W102" s="388"/>
      <c r="X102" s="388"/>
      <c r="Y102" s="388"/>
    </row>
    <row r="103" spans="2:25" ht="12" customHeight="1"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</row>
    <row r="104" spans="2:25" ht="12" customHeight="1">
      <c r="B104" s="388"/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</row>
    <row r="105" spans="2:25" ht="12" customHeight="1">
      <c r="B105" s="388"/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</row>
    <row r="106" spans="2:25" ht="12" customHeight="1">
      <c r="B106" s="388"/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</row>
    <row r="107" spans="2:25" ht="12" customHeight="1">
      <c r="B107" s="388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</row>
    <row r="108" spans="2:25" ht="12" customHeight="1">
      <c r="B108" s="388"/>
      <c r="C108" s="388"/>
      <c r="D108" s="388"/>
      <c r="E108" s="388"/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  <c r="S108" s="388"/>
      <c r="T108" s="388"/>
      <c r="U108" s="388"/>
      <c r="V108" s="388"/>
      <c r="W108" s="388"/>
      <c r="X108" s="388"/>
      <c r="Y108" s="388"/>
    </row>
    <row r="109" spans="2:25" ht="12" customHeight="1">
      <c r="B109" s="388"/>
      <c r="C109" s="388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</row>
    <row r="110" spans="2:25" ht="12" customHeight="1">
      <c r="B110" s="388"/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U110" s="388"/>
      <c r="V110" s="388"/>
      <c r="W110" s="388"/>
      <c r="X110" s="388"/>
      <c r="Y110" s="388"/>
    </row>
    <row r="111" spans="2:25" ht="12" customHeight="1">
      <c r="B111" s="388"/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</row>
    <row r="112" spans="2:25" ht="12" customHeight="1">
      <c r="B112" s="388"/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8"/>
    </row>
    <row r="113" spans="2:25" ht="12" customHeight="1">
      <c r="B113" s="388"/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</row>
    <row r="114" spans="2:25" ht="12" customHeight="1">
      <c r="B114" s="388"/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  <c r="S114" s="388"/>
      <c r="T114" s="388"/>
      <c r="U114" s="388"/>
      <c r="V114" s="388"/>
      <c r="W114" s="388"/>
      <c r="X114" s="388"/>
      <c r="Y114" s="388"/>
    </row>
    <row r="115" spans="2:25" ht="12" customHeight="1">
      <c r="B115" s="388"/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</row>
    <row r="116" spans="2:25" ht="12" customHeight="1">
      <c r="B116" s="388"/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8"/>
    </row>
    <row r="117" spans="2:25" ht="12" customHeight="1">
      <c r="B117" s="388"/>
      <c r="C117" s="388"/>
      <c r="D117" s="388"/>
      <c r="E117" s="388"/>
      <c r="F117" s="388"/>
      <c r="G117" s="388"/>
      <c r="H117" s="388"/>
      <c r="I117" s="388"/>
      <c r="J117" s="388"/>
      <c r="K117" s="388"/>
      <c r="L117" s="388"/>
      <c r="M117" s="388"/>
      <c r="N117" s="388"/>
      <c r="O117" s="388"/>
      <c r="P117" s="388"/>
      <c r="Q117" s="388"/>
      <c r="R117" s="388"/>
      <c r="S117" s="388"/>
      <c r="T117" s="388"/>
      <c r="U117" s="388"/>
      <c r="V117" s="388"/>
      <c r="W117" s="388"/>
      <c r="X117" s="388"/>
      <c r="Y117" s="388"/>
    </row>
    <row r="118" spans="2:25" ht="12" customHeight="1">
      <c r="B118" s="388"/>
      <c r="C118" s="388"/>
      <c r="D118" s="388"/>
      <c r="E118" s="388"/>
      <c r="F118" s="388"/>
      <c r="G118" s="388"/>
      <c r="H118" s="388"/>
      <c r="I118" s="388"/>
      <c r="J118" s="388"/>
      <c r="K118" s="388"/>
      <c r="L118" s="388"/>
      <c r="M118" s="388"/>
      <c r="N118" s="388"/>
      <c r="O118" s="388"/>
      <c r="P118" s="388"/>
      <c r="Q118" s="388"/>
      <c r="R118" s="388"/>
      <c r="S118" s="388"/>
      <c r="T118" s="388"/>
      <c r="U118" s="388"/>
      <c r="V118" s="388"/>
      <c r="W118" s="388"/>
      <c r="X118" s="388"/>
      <c r="Y118" s="388"/>
    </row>
    <row r="119" spans="2:25" ht="12" customHeight="1">
      <c r="B119" s="388"/>
      <c r="C119" s="388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</row>
    <row r="120" spans="2:25" ht="12" customHeight="1">
      <c r="B120" s="388"/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</row>
    <row r="121" spans="2:25" ht="12" customHeight="1">
      <c r="B121" s="388"/>
      <c r="C121" s="388"/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/>
      <c r="U121" s="388"/>
      <c r="V121" s="388"/>
      <c r="W121" s="388"/>
      <c r="X121" s="388"/>
      <c r="Y121" s="388"/>
    </row>
    <row r="122" spans="2:25" ht="12" customHeight="1">
      <c r="B122" s="388"/>
      <c r="C122" s="388"/>
      <c r="D122" s="388"/>
      <c r="E122" s="388"/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88"/>
      <c r="Q122" s="388"/>
      <c r="R122" s="388"/>
      <c r="S122" s="388"/>
      <c r="T122" s="388"/>
      <c r="U122" s="388"/>
      <c r="V122" s="388"/>
      <c r="W122" s="388"/>
      <c r="X122" s="388"/>
      <c r="Y122" s="388"/>
    </row>
    <row r="123" spans="2:25" ht="12" customHeight="1">
      <c r="B123" s="388"/>
      <c r="C123" s="388"/>
      <c r="D123" s="388"/>
      <c r="E123" s="388"/>
      <c r="F123" s="388"/>
      <c r="G123" s="388"/>
      <c r="H123" s="388"/>
      <c r="I123" s="388"/>
      <c r="J123" s="388"/>
      <c r="K123" s="388"/>
      <c r="L123" s="388"/>
      <c r="M123" s="388"/>
      <c r="N123" s="388"/>
      <c r="O123" s="388"/>
      <c r="P123" s="388"/>
      <c r="Q123" s="388"/>
      <c r="R123" s="388"/>
      <c r="S123" s="388"/>
      <c r="T123" s="388"/>
      <c r="U123" s="388"/>
      <c r="V123" s="388"/>
      <c r="W123" s="388"/>
      <c r="X123" s="388"/>
      <c r="Y123" s="388"/>
    </row>
    <row r="124" spans="2:25" ht="12" customHeight="1">
      <c r="B124" s="388"/>
      <c r="C124" s="388"/>
      <c r="D124" s="388"/>
      <c r="E124" s="388"/>
      <c r="F124" s="388"/>
      <c r="G124" s="388"/>
      <c r="H124" s="388"/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  <c r="S124" s="388"/>
      <c r="T124" s="388"/>
      <c r="U124" s="388"/>
      <c r="V124" s="388"/>
      <c r="W124" s="388"/>
      <c r="X124" s="388"/>
      <c r="Y124" s="388"/>
    </row>
    <row r="125" spans="2:25" ht="12" customHeight="1">
      <c r="B125" s="388"/>
      <c r="C125" s="388"/>
      <c r="D125" s="388"/>
      <c r="E125" s="388"/>
      <c r="F125" s="388"/>
      <c r="G125" s="388"/>
      <c r="H125" s="388"/>
      <c r="I125" s="388"/>
      <c r="J125" s="388"/>
      <c r="K125" s="388"/>
      <c r="L125" s="388"/>
      <c r="M125" s="388"/>
      <c r="N125" s="388"/>
      <c r="O125" s="388"/>
      <c r="P125" s="388"/>
      <c r="Q125" s="388"/>
      <c r="R125" s="388"/>
      <c r="S125" s="388"/>
      <c r="T125" s="388"/>
      <c r="U125" s="388"/>
      <c r="V125" s="388"/>
      <c r="W125" s="388"/>
      <c r="X125" s="388"/>
      <c r="Y125" s="388"/>
    </row>
    <row r="126" spans="2:25" ht="12" customHeight="1">
      <c r="B126" s="388"/>
      <c r="C126" s="388"/>
      <c r="D126" s="388"/>
      <c r="E126" s="388"/>
      <c r="F126" s="388"/>
      <c r="G126" s="388"/>
      <c r="H126" s="388"/>
      <c r="I126" s="388"/>
      <c r="J126" s="388"/>
      <c r="K126" s="388"/>
      <c r="L126" s="388"/>
      <c r="M126" s="388"/>
      <c r="N126" s="388"/>
      <c r="O126" s="388"/>
      <c r="P126" s="388"/>
      <c r="Q126" s="388"/>
      <c r="R126" s="388"/>
      <c r="S126" s="388"/>
      <c r="T126" s="388"/>
      <c r="U126" s="388"/>
      <c r="V126" s="388"/>
      <c r="W126" s="388"/>
      <c r="X126" s="388"/>
      <c r="Y126" s="388"/>
    </row>
    <row r="127" spans="2:25" ht="12" customHeight="1">
      <c r="B127" s="388"/>
      <c r="C127" s="388"/>
      <c r="D127" s="388"/>
      <c r="E127" s="388"/>
      <c r="F127" s="388"/>
      <c r="G127" s="388"/>
      <c r="H127" s="388"/>
      <c r="I127" s="388"/>
      <c r="J127" s="388"/>
      <c r="K127" s="388"/>
      <c r="L127" s="388"/>
      <c r="M127" s="388"/>
      <c r="N127" s="388"/>
      <c r="O127" s="388"/>
      <c r="P127" s="388"/>
      <c r="Q127" s="388"/>
      <c r="R127" s="388"/>
      <c r="S127" s="388"/>
      <c r="T127" s="388"/>
      <c r="U127" s="388"/>
      <c r="V127" s="388"/>
      <c r="W127" s="388"/>
      <c r="X127" s="388"/>
      <c r="Y127" s="388"/>
    </row>
    <row r="128" spans="2:25" ht="12" customHeight="1">
      <c r="B128" s="388"/>
      <c r="C128" s="388"/>
      <c r="D128" s="388"/>
      <c r="E128" s="388"/>
      <c r="F128" s="388"/>
      <c r="G128" s="388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</row>
    <row r="129" spans="2:25" ht="12" customHeight="1">
      <c r="B129" s="388"/>
      <c r="C129" s="388"/>
      <c r="D129" s="388"/>
      <c r="E129" s="388"/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  <c r="P129" s="388"/>
      <c r="Q129" s="388"/>
      <c r="R129" s="388"/>
      <c r="S129" s="388"/>
      <c r="T129" s="388"/>
      <c r="U129" s="388"/>
      <c r="V129" s="388"/>
      <c r="W129" s="388"/>
      <c r="X129" s="388"/>
      <c r="Y129" s="388"/>
    </row>
    <row r="130" spans="2:25" ht="12" customHeight="1">
      <c r="B130" s="388"/>
      <c r="C130" s="388"/>
      <c r="D130" s="388"/>
      <c r="E130" s="388"/>
      <c r="F130" s="388"/>
      <c r="G130" s="388"/>
      <c r="H130" s="388"/>
      <c r="I130" s="388"/>
      <c r="J130" s="388"/>
      <c r="K130" s="388"/>
      <c r="L130" s="388"/>
      <c r="M130" s="388"/>
      <c r="N130" s="388"/>
      <c r="O130" s="388"/>
      <c r="P130" s="388"/>
      <c r="Q130" s="388"/>
      <c r="R130" s="388"/>
      <c r="S130" s="388"/>
      <c r="T130" s="388"/>
      <c r="U130" s="388"/>
      <c r="V130" s="388"/>
      <c r="W130" s="388"/>
      <c r="X130" s="388"/>
      <c r="Y130" s="388"/>
    </row>
    <row r="131" spans="2:25" ht="12" customHeight="1">
      <c r="B131" s="388"/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</row>
    <row r="132" spans="2:25" ht="12" customHeight="1">
      <c r="B132" s="388"/>
      <c r="C132" s="388"/>
      <c r="D132" s="388"/>
      <c r="E132" s="388"/>
      <c r="F132" s="388"/>
      <c r="G132" s="388"/>
      <c r="H132" s="388"/>
      <c r="I132" s="388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88"/>
    </row>
    <row r="133" spans="2:25" ht="12" customHeight="1">
      <c r="B133" s="388"/>
      <c r="C133" s="388"/>
      <c r="D133" s="388"/>
      <c r="E133" s="388"/>
      <c r="F133" s="388"/>
      <c r="G133" s="388"/>
      <c r="H133" s="388"/>
      <c r="I133" s="388"/>
      <c r="J133" s="388"/>
      <c r="K133" s="388"/>
      <c r="L133" s="388"/>
      <c r="M133" s="388"/>
      <c r="N133" s="388"/>
      <c r="O133" s="388"/>
      <c r="P133" s="388"/>
      <c r="Q133" s="388"/>
      <c r="R133" s="388"/>
      <c r="S133" s="388"/>
      <c r="T133" s="388"/>
      <c r="U133" s="388"/>
      <c r="V133" s="388"/>
      <c r="W133" s="388"/>
      <c r="X133" s="388"/>
      <c r="Y133" s="388"/>
    </row>
    <row r="134" spans="2:25" ht="12" customHeight="1">
      <c r="B134" s="388"/>
      <c r="C134" s="388"/>
      <c r="D134" s="388"/>
      <c r="E134" s="388"/>
      <c r="F134" s="388"/>
      <c r="G134" s="388"/>
      <c r="H134" s="388"/>
      <c r="I134" s="388"/>
      <c r="J134" s="388"/>
      <c r="K134" s="388"/>
      <c r="L134" s="388"/>
      <c r="M134" s="388"/>
      <c r="N134" s="388"/>
      <c r="O134" s="388"/>
      <c r="P134" s="388"/>
      <c r="Q134" s="388"/>
      <c r="R134" s="388"/>
      <c r="S134" s="388"/>
      <c r="T134" s="388"/>
      <c r="U134" s="388"/>
      <c r="V134" s="388"/>
      <c r="W134" s="388"/>
      <c r="X134" s="388"/>
      <c r="Y134" s="388"/>
    </row>
    <row r="135" spans="2:25" ht="12" customHeight="1">
      <c r="B135" s="388"/>
      <c r="C135" s="388"/>
      <c r="D135" s="388"/>
      <c r="E135" s="388"/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388"/>
      <c r="Q135" s="388"/>
      <c r="R135" s="388"/>
      <c r="S135" s="388"/>
      <c r="T135" s="388"/>
      <c r="U135" s="388"/>
      <c r="V135" s="388"/>
      <c r="W135" s="388"/>
      <c r="X135" s="388"/>
      <c r="Y135" s="388"/>
    </row>
    <row r="136" spans="2:25" ht="12" customHeight="1">
      <c r="B136" s="388"/>
      <c r="C136" s="388"/>
      <c r="D136" s="388"/>
      <c r="E136" s="388"/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  <c r="T136" s="388"/>
      <c r="U136" s="388"/>
      <c r="V136" s="388"/>
      <c r="W136" s="388"/>
      <c r="X136" s="388"/>
      <c r="Y136" s="388"/>
    </row>
    <row r="137" spans="2:25" ht="12" customHeight="1">
      <c r="B137" s="388"/>
      <c r="C137" s="388"/>
      <c r="D137" s="388"/>
      <c r="E137" s="388"/>
      <c r="F137" s="388"/>
      <c r="G137" s="388"/>
      <c r="H137" s="388"/>
      <c r="I137" s="388"/>
      <c r="J137" s="388"/>
      <c r="K137" s="388"/>
      <c r="L137" s="388"/>
      <c r="M137" s="388"/>
      <c r="N137" s="388"/>
      <c r="O137" s="388"/>
      <c r="P137" s="388"/>
      <c r="Q137" s="388"/>
      <c r="R137" s="388"/>
      <c r="S137" s="388"/>
      <c r="T137" s="388"/>
      <c r="U137" s="388"/>
      <c r="V137" s="388"/>
      <c r="W137" s="388"/>
      <c r="X137" s="388"/>
      <c r="Y137" s="388"/>
    </row>
    <row r="138" spans="2:25" ht="12" customHeight="1">
      <c r="B138" s="388"/>
      <c r="C138" s="388"/>
      <c r="D138" s="388"/>
      <c r="E138" s="388"/>
      <c r="F138" s="388"/>
      <c r="G138" s="388"/>
      <c r="H138" s="388"/>
      <c r="I138" s="388"/>
      <c r="J138" s="388"/>
      <c r="K138" s="388"/>
      <c r="L138" s="388"/>
      <c r="M138" s="388"/>
      <c r="N138" s="388"/>
      <c r="O138" s="388"/>
      <c r="P138" s="388"/>
      <c r="Q138" s="388"/>
      <c r="R138" s="388"/>
      <c r="S138" s="388"/>
      <c r="T138" s="388"/>
      <c r="U138" s="388"/>
      <c r="V138" s="388"/>
      <c r="W138" s="388"/>
      <c r="X138" s="388"/>
      <c r="Y138" s="388"/>
    </row>
    <row r="139" spans="2:25" ht="12" customHeight="1">
      <c r="B139" s="388"/>
      <c r="C139" s="388"/>
      <c r="D139" s="388"/>
      <c r="E139" s="388"/>
      <c r="F139" s="388"/>
      <c r="G139" s="388"/>
      <c r="H139" s="388"/>
      <c r="I139" s="388"/>
      <c r="J139" s="388"/>
      <c r="K139" s="388"/>
      <c r="L139" s="388"/>
      <c r="M139" s="388"/>
      <c r="N139" s="388"/>
      <c r="O139" s="388"/>
      <c r="P139" s="388"/>
      <c r="Q139" s="388"/>
      <c r="R139" s="388"/>
      <c r="S139" s="388"/>
      <c r="T139" s="388"/>
      <c r="U139" s="388"/>
      <c r="V139" s="388"/>
      <c r="W139" s="388"/>
      <c r="X139" s="388"/>
      <c r="Y139" s="388"/>
    </row>
    <row r="140" spans="2:25" ht="12" customHeight="1">
      <c r="B140" s="388"/>
      <c r="C140" s="388"/>
      <c r="D140" s="388"/>
      <c r="E140" s="388"/>
      <c r="F140" s="388"/>
      <c r="G140" s="388"/>
      <c r="H140" s="388"/>
      <c r="I140" s="388"/>
      <c r="J140" s="388"/>
      <c r="K140" s="388"/>
      <c r="L140" s="388"/>
      <c r="M140" s="388"/>
      <c r="N140" s="388"/>
      <c r="O140" s="388"/>
      <c r="P140" s="388"/>
      <c r="Q140" s="388"/>
      <c r="R140" s="388"/>
      <c r="S140" s="388"/>
      <c r="T140" s="388"/>
      <c r="U140" s="388"/>
      <c r="V140" s="388"/>
      <c r="W140" s="388"/>
      <c r="X140" s="388"/>
      <c r="Y140" s="388"/>
    </row>
    <row r="141" spans="2:25" ht="12" customHeight="1">
      <c r="B141" s="388"/>
      <c r="C141" s="388"/>
      <c r="D141" s="388"/>
      <c r="E141" s="388"/>
      <c r="F141" s="388"/>
      <c r="G141" s="388"/>
      <c r="H141" s="388"/>
      <c r="I141" s="388"/>
      <c r="J141" s="388"/>
      <c r="K141" s="388"/>
      <c r="L141" s="388"/>
      <c r="M141" s="388"/>
      <c r="N141" s="388"/>
      <c r="O141" s="388"/>
      <c r="P141" s="388"/>
      <c r="Q141" s="388"/>
      <c r="R141" s="388"/>
      <c r="S141" s="388"/>
      <c r="T141" s="388"/>
      <c r="U141" s="388"/>
      <c r="V141" s="388"/>
      <c r="W141" s="388"/>
      <c r="X141" s="388"/>
      <c r="Y141" s="388"/>
    </row>
    <row r="142" spans="2:25" ht="12" customHeight="1">
      <c r="B142" s="388"/>
      <c r="C142" s="388"/>
      <c r="D142" s="388"/>
      <c r="E142" s="388"/>
      <c r="F142" s="388"/>
      <c r="G142" s="388"/>
      <c r="H142" s="388"/>
      <c r="I142" s="388"/>
      <c r="J142" s="388"/>
      <c r="K142" s="388"/>
      <c r="L142" s="388"/>
      <c r="M142" s="388"/>
      <c r="N142" s="388"/>
      <c r="O142" s="388"/>
      <c r="P142" s="388"/>
      <c r="Q142" s="388"/>
      <c r="R142" s="388"/>
      <c r="S142" s="388"/>
      <c r="T142" s="388"/>
      <c r="U142" s="388"/>
      <c r="V142" s="388"/>
      <c r="W142" s="388"/>
      <c r="X142" s="388"/>
      <c r="Y142" s="388"/>
    </row>
    <row r="143" spans="2:25" ht="12" customHeight="1">
      <c r="B143" s="388"/>
      <c r="C143" s="388"/>
      <c r="D143" s="388"/>
      <c r="E143" s="388"/>
      <c r="F143" s="388"/>
      <c r="G143" s="388"/>
      <c r="H143" s="388"/>
      <c r="I143" s="388"/>
      <c r="J143" s="388"/>
      <c r="K143" s="388"/>
      <c r="L143" s="388"/>
      <c r="M143" s="388"/>
      <c r="N143" s="388"/>
      <c r="O143" s="388"/>
      <c r="P143" s="388"/>
      <c r="Q143" s="388"/>
      <c r="R143" s="388"/>
      <c r="S143" s="388"/>
      <c r="T143" s="388"/>
      <c r="U143" s="388"/>
      <c r="V143" s="388"/>
      <c r="W143" s="388"/>
      <c r="X143" s="388"/>
      <c r="Y143" s="388"/>
    </row>
    <row r="144" spans="2:25" ht="12" customHeight="1">
      <c r="B144" s="388"/>
      <c r="C144" s="388"/>
      <c r="D144" s="388"/>
      <c r="E144" s="388"/>
      <c r="F144" s="388"/>
      <c r="G144" s="388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</row>
    <row r="145" spans="2:25" ht="12" customHeight="1">
      <c r="B145" s="388"/>
      <c r="C145" s="388"/>
      <c r="D145" s="388"/>
      <c r="E145" s="388"/>
      <c r="F145" s="388"/>
      <c r="G145" s="388"/>
      <c r="H145" s="388"/>
      <c r="I145" s="388"/>
      <c r="J145" s="388"/>
      <c r="K145" s="388"/>
      <c r="L145" s="388"/>
      <c r="M145" s="388"/>
      <c r="N145" s="38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</row>
    <row r="146" spans="2:25" ht="12" customHeight="1">
      <c r="B146" s="388"/>
      <c r="C146" s="388"/>
      <c r="D146" s="388"/>
      <c r="E146" s="388"/>
      <c r="F146" s="388"/>
      <c r="G146" s="388"/>
      <c r="H146" s="388"/>
      <c r="I146" s="388"/>
      <c r="J146" s="388"/>
      <c r="K146" s="388"/>
      <c r="L146" s="388"/>
      <c r="M146" s="388"/>
      <c r="N146" s="388"/>
      <c r="O146" s="388"/>
      <c r="P146" s="388"/>
      <c r="Q146" s="388"/>
      <c r="R146" s="388"/>
      <c r="S146" s="388"/>
      <c r="T146" s="388"/>
      <c r="U146" s="388"/>
      <c r="V146" s="388"/>
      <c r="W146" s="388"/>
      <c r="X146" s="388"/>
      <c r="Y146" s="388"/>
    </row>
    <row r="147" spans="2:25" ht="12" customHeight="1">
      <c r="B147" s="388"/>
      <c r="C147" s="388"/>
      <c r="D147" s="388"/>
      <c r="E147" s="388"/>
      <c r="F147" s="388"/>
      <c r="G147" s="388"/>
      <c r="H147" s="388"/>
      <c r="I147" s="388"/>
      <c r="J147" s="388"/>
      <c r="K147" s="388"/>
      <c r="L147" s="388"/>
      <c r="M147" s="388"/>
      <c r="N147" s="388"/>
      <c r="O147" s="388"/>
      <c r="P147" s="388"/>
      <c r="Q147" s="388"/>
      <c r="R147" s="388"/>
      <c r="S147" s="388"/>
      <c r="T147" s="388"/>
      <c r="U147" s="388"/>
      <c r="V147" s="388"/>
      <c r="W147" s="388"/>
      <c r="X147" s="388"/>
      <c r="Y147" s="388"/>
    </row>
    <row r="148" spans="2:25" ht="12" customHeight="1">
      <c r="B148" s="388"/>
      <c r="C148" s="388"/>
      <c r="D148" s="388"/>
      <c r="E148" s="388"/>
      <c r="F148" s="388"/>
      <c r="G148" s="388"/>
      <c r="H148" s="388"/>
      <c r="I148" s="388"/>
      <c r="J148" s="388"/>
      <c r="K148" s="388"/>
      <c r="L148" s="388"/>
      <c r="M148" s="388"/>
      <c r="N148" s="388"/>
      <c r="O148" s="388"/>
      <c r="P148" s="388"/>
      <c r="Q148" s="388"/>
      <c r="R148" s="388"/>
      <c r="S148" s="388"/>
      <c r="T148" s="388"/>
      <c r="U148" s="388"/>
      <c r="V148" s="388"/>
      <c r="W148" s="388"/>
      <c r="X148" s="388"/>
      <c r="Y148" s="388"/>
    </row>
    <row r="149" spans="2:25" ht="12" customHeight="1">
      <c r="B149" s="388"/>
      <c r="C149" s="388"/>
      <c r="D149" s="388"/>
      <c r="E149" s="388"/>
      <c r="F149" s="388"/>
      <c r="G149" s="388"/>
      <c r="H149" s="388"/>
      <c r="I149" s="388"/>
      <c r="J149" s="388"/>
      <c r="K149" s="388"/>
      <c r="L149" s="388"/>
      <c r="M149" s="388"/>
      <c r="N149" s="388"/>
      <c r="O149" s="388"/>
      <c r="P149" s="388"/>
      <c r="Q149" s="388"/>
      <c r="R149" s="388"/>
      <c r="S149" s="388"/>
      <c r="T149" s="388"/>
      <c r="U149" s="388"/>
      <c r="V149" s="388"/>
      <c r="W149" s="388"/>
      <c r="X149" s="388"/>
      <c r="Y149" s="388"/>
    </row>
    <row r="150" spans="2:25" ht="12" customHeight="1">
      <c r="B150" s="388"/>
      <c r="C150" s="388"/>
      <c r="D150" s="388"/>
      <c r="E150" s="388"/>
      <c r="F150" s="388"/>
      <c r="G150" s="388"/>
      <c r="H150" s="388"/>
      <c r="I150" s="388"/>
      <c r="J150" s="388"/>
      <c r="K150" s="388"/>
      <c r="L150" s="388"/>
      <c r="M150" s="388"/>
      <c r="N150" s="388"/>
      <c r="O150" s="388"/>
      <c r="P150" s="388"/>
      <c r="Q150" s="388"/>
      <c r="R150" s="388"/>
      <c r="S150" s="388"/>
      <c r="T150" s="388"/>
      <c r="U150" s="388"/>
      <c r="V150" s="388"/>
      <c r="W150" s="388"/>
      <c r="X150" s="388"/>
      <c r="Y150" s="388"/>
    </row>
    <row r="151" spans="2:25" ht="12" customHeight="1">
      <c r="B151" s="388"/>
      <c r="C151" s="388"/>
      <c r="D151" s="388"/>
      <c r="E151" s="388"/>
      <c r="F151" s="388"/>
      <c r="G151" s="388"/>
      <c r="H151" s="388"/>
      <c r="I151" s="388"/>
      <c r="J151" s="388"/>
      <c r="K151" s="388"/>
      <c r="L151" s="388"/>
      <c r="M151" s="388"/>
      <c r="N151" s="388"/>
      <c r="O151" s="388"/>
      <c r="P151" s="388"/>
      <c r="Q151" s="388"/>
      <c r="R151" s="388"/>
      <c r="S151" s="388"/>
      <c r="T151" s="388"/>
      <c r="U151" s="388"/>
      <c r="V151" s="388"/>
      <c r="W151" s="388"/>
      <c r="X151" s="388"/>
      <c r="Y151" s="388"/>
    </row>
    <row r="152" spans="2:25" ht="12" customHeight="1">
      <c r="B152" s="388"/>
      <c r="C152" s="388"/>
      <c r="D152" s="388"/>
      <c r="E152" s="388"/>
      <c r="F152" s="388"/>
      <c r="G152" s="388"/>
      <c r="H152" s="388"/>
      <c r="I152" s="388"/>
      <c r="J152" s="388"/>
      <c r="K152" s="388"/>
      <c r="L152" s="388"/>
      <c r="M152" s="388"/>
      <c r="N152" s="388"/>
      <c r="O152" s="388"/>
      <c r="P152" s="388"/>
      <c r="Q152" s="388"/>
      <c r="R152" s="388"/>
      <c r="S152" s="388"/>
      <c r="T152" s="388"/>
      <c r="U152" s="388"/>
      <c r="V152" s="388"/>
      <c r="W152" s="388"/>
      <c r="X152" s="388"/>
      <c r="Y152" s="388"/>
    </row>
    <row r="153" spans="2:25" ht="12" customHeight="1">
      <c r="B153" s="388"/>
      <c r="C153" s="388"/>
      <c r="D153" s="388"/>
      <c r="E153" s="388"/>
      <c r="F153" s="388"/>
      <c r="G153" s="388"/>
      <c r="H153" s="388"/>
      <c r="I153" s="388"/>
      <c r="J153" s="388"/>
      <c r="K153" s="388"/>
      <c r="L153" s="388"/>
      <c r="M153" s="388"/>
      <c r="N153" s="388"/>
      <c r="O153" s="388"/>
      <c r="P153" s="388"/>
      <c r="Q153" s="388"/>
      <c r="R153" s="388"/>
      <c r="S153" s="388"/>
      <c r="T153" s="388"/>
      <c r="U153" s="388"/>
      <c r="V153" s="388"/>
      <c r="W153" s="388"/>
      <c r="X153" s="388"/>
      <c r="Y153" s="388"/>
    </row>
    <row r="154" spans="2:25" ht="12" customHeight="1">
      <c r="B154" s="388"/>
      <c r="C154" s="388"/>
      <c r="D154" s="388"/>
      <c r="E154" s="388"/>
      <c r="F154" s="388"/>
      <c r="G154" s="388"/>
      <c r="H154" s="388"/>
      <c r="I154" s="388"/>
      <c r="J154" s="388"/>
      <c r="K154" s="388"/>
      <c r="L154" s="388"/>
      <c r="M154" s="388"/>
      <c r="N154" s="388"/>
      <c r="O154" s="388"/>
      <c r="P154" s="388"/>
      <c r="Q154" s="388"/>
      <c r="R154" s="388"/>
      <c r="S154" s="388"/>
      <c r="T154" s="388"/>
      <c r="U154" s="388"/>
      <c r="V154" s="388"/>
      <c r="W154" s="388"/>
      <c r="X154" s="388"/>
      <c r="Y154" s="388"/>
    </row>
    <row r="155" spans="2:25" ht="12" customHeight="1">
      <c r="B155" s="388"/>
      <c r="C155" s="388"/>
      <c r="D155" s="388"/>
      <c r="E155" s="388"/>
      <c r="F155" s="388"/>
      <c r="G155" s="388"/>
      <c r="H155" s="388"/>
      <c r="I155" s="388"/>
      <c r="J155" s="388"/>
      <c r="K155" s="388"/>
      <c r="L155" s="388"/>
      <c r="M155" s="388"/>
      <c r="N155" s="388"/>
      <c r="O155" s="388"/>
      <c r="P155" s="388"/>
      <c r="Q155" s="388"/>
      <c r="R155" s="388"/>
      <c r="S155" s="388"/>
      <c r="T155" s="388"/>
      <c r="U155" s="388"/>
      <c r="V155" s="388"/>
      <c r="W155" s="388"/>
      <c r="X155" s="388"/>
      <c r="Y155" s="388"/>
    </row>
    <row r="156" spans="2:25" ht="12" customHeight="1">
      <c r="B156" s="388"/>
      <c r="C156" s="388"/>
      <c r="D156" s="388"/>
      <c r="E156" s="388"/>
      <c r="F156" s="388"/>
      <c r="G156" s="388"/>
      <c r="H156" s="388"/>
      <c r="I156" s="388"/>
      <c r="J156" s="388"/>
      <c r="K156" s="388"/>
      <c r="L156" s="388"/>
      <c r="M156" s="388"/>
      <c r="N156" s="388"/>
      <c r="O156" s="388"/>
      <c r="P156" s="388"/>
      <c r="Q156" s="388"/>
      <c r="R156" s="388"/>
      <c r="S156" s="388"/>
      <c r="T156" s="388"/>
      <c r="U156" s="388"/>
      <c r="V156" s="388"/>
      <c r="W156" s="388"/>
      <c r="X156" s="388"/>
      <c r="Y156" s="388"/>
    </row>
    <row r="157" spans="2:25" ht="12" customHeight="1">
      <c r="B157" s="388"/>
      <c r="C157" s="388"/>
      <c r="D157" s="388"/>
      <c r="E157" s="388"/>
      <c r="F157" s="388"/>
      <c r="G157" s="388"/>
      <c r="H157" s="388"/>
      <c r="I157" s="388"/>
      <c r="J157" s="388"/>
      <c r="K157" s="388"/>
      <c r="L157" s="388"/>
      <c r="M157" s="388"/>
      <c r="N157" s="388"/>
      <c r="O157" s="388"/>
      <c r="P157" s="388"/>
      <c r="Q157" s="388"/>
      <c r="R157" s="388"/>
      <c r="S157" s="388"/>
      <c r="T157" s="388"/>
      <c r="U157" s="388"/>
      <c r="V157" s="388"/>
      <c r="W157" s="388"/>
      <c r="X157" s="388"/>
      <c r="Y157" s="388"/>
    </row>
    <row r="158" spans="2:25" ht="12" customHeight="1">
      <c r="B158" s="388"/>
      <c r="C158" s="388"/>
      <c r="D158" s="388"/>
      <c r="E158" s="388"/>
      <c r="F158" s="388"/>
      <c r="G158" s="388"/>
      <c r="H158" s="388"/>
      <c r="I158" s="388"/>
      <c r="J158" s="388"/>
      <c r="K158" s="388"/>
      <c r="L158" s="388"/>
      <c r="M158" s="388"/>
      <c r="N158" s="388"/>
      <c r="O158" s="388"/>
      <c r="P158" s="388"/>
      <c r="Q158" s="388"/>
      <c r="R158" s="388"/>
      <c r="S158" s="388"/>
      <c r="T158" s="388"/>
      <c r="U158" s="388"/>
      <c r="V158" s="388"/>
      <c r="W158" s="388"/>
      <c r="X158" s="388"/>
      <c r="Y158" s="388"/>
    </row>
    <row r="159" spans="2:25" ht="12" customHeight="1">
      <c r="B159" s="388"/>
      <c r="C159" s="388"/>
      <c r="D159" s="388"/>
      <c r="E159" s="388"/>
      <c r="F159" s="388"/>
      <c r="G159" s="388"/>
      <c r="H159" s="388"/>
      <c r="I159" s="388"/>
      <c r="J159" s="388"/>
      <c r="K159" s="388"/>
      <c r="L159" s="388"/>
      <c r="M159" s="388"/>
      <c r="N159" s="388"/>
      <c r="O159" s="388"/>
      <c r="P159" s="388"/>
      <c r="Q159" s="388"/>
      <c r="R159" s="388"/>
      <c r="S159" s="388"/>
      <c r="T159" s="388"/>
      <c r="U159" s="388"/>
      <c r="V159" s="388"/>
      <c r="W159" s="388"/>
      <c r="X159" s="388"/>
      <c r="Y159" s="388"/>
    </row>
    <row r="160" spans="2:25" ht="12" customHeight="1">
      <c r="B160" s="388"/>
      <c r="C160" s="388"/>
      <c r="D160" s="388"/>
      <c r="E160" s="388"/>
      <c r="F160" s="388"/>
      <c r="G160" s="388"/>
      <c r="H160" s="388"/>
      <c r="I160" s="388"/>
      <c r="J160" s="388"/>
      <c r="K160" s="388"/>
      <c r="L160" s="388"/>
      <c r="M160" s="388"/>
      <c r="N160" s="388"/>
      <c r="O160" s="388"/>
      <c r="P160" s="388"/>
      <c r="Q160" s="388"/>
      <c r="R160" s="388"/>
      <c r="S160" s="388"/>
      <c r="T160" s="388"/>
      <c r="U160" s="388"/>
      <c r="V160" s="388"/>
      <c r="W160" s="388"/>
      <c r="X160" s="388"/>
      <c r="Y160" s="388"/>
    </row>
    <row r="161" spans="2:25" ht="12" customHeight="1">
      <c r="B161" s="388"/>
      <c r="C161" s="388"/>
      <c r="D161" s="388"/>
      <c r="E161" s="388"/>
      <c r="F161" s="388"/>
      <c r="G161" s="388"/>
      <c r="H161" s="388"/>
      <c r="I161" s="388"/>
      <c r="J161" s="388"/>
      <c r="K161" s="388"/>
      <c r="L161" s="388"/>
      <c r="M161" s="388"/>
      <c r="N161" s="388"/>
      <c r="O161" s="388"/>
      <c r="P161" s="388"/>
      <c r="Q161" s="388"/>
      <c r="R161" s="388"/>
      <c r="S161" s="388"/>
      <c r="T161" s="388"/>
      <c r="U161" s="388"/>
      <c r="V161" s="388"/>
      <c r="W161" s="388"/>
      <c r="X161" s="388"/>
      <c r="Y161" s="388"/>
    </row>
    <row r="162" spans="2:25" ht="12" customHeight="1">
      <c r="B162" s="388"/>
      <c r="C162" s="388"/>
      <c r="D162" s="388"/>
      <c r="E162" s="388"/>
      <c r="F162" s="388"/>
      <c r="G162" s="388"/>
      <c r="H162" s="388"/>
      <c r="I162" s="388"/>
      <c r="J162" s="388"/>
      <c r="K162" s="388"/>
      <c r="L162" s="388"/>
      <c r="M162" s="388"/>
      <c r="N162" s="388"/>
      <c r="O162" s="388"/>
      <c r="P162" s="388"/>
      <c r="Q162" s="388"/>
      <c r="R162" s="388"/>
      <c r="S162" s="388"/>
      <c r="T162" s="388"/>
      <c r="U162" s="388"/>
      <c r="V162" s="388"/>
      <c r="W162" s="388"/>
      <c r="X162" s="388"/>
      <c r="Y162" s="388"/>
    </row>
    <row r="163" spans="2:25" ht="12" customHeight="1">
      <c r="B163" s="388"/>
      <c r="C163" s="388"/>
      <c r="D163" s="388"/>
      <c r="E163" s="388"/>
      <c r="F163" s="388"/>
      <c r="G163" s="388"/>
      <c r="H163" s="388"/>
      <c r="I163" s="388"/>
      <c r="J163" s="388"/>
      <c r="K163" s="388"/>
      <c r="L163" s="388"/>
      <c r="M163" s="388"/>
      <c r="N163" s="388"/>
      <c r="O163" s="388"/>
      <c r="P163" s="388"/>
      <c r="Q163" s="388"/>
      <c r="R163" s="388"/>
      <c r="S163" s="388"/>
      <c r="T163" s="388"/>
      <c r="U163" s="388"/>
      <c r="V163" s="388"/>
      <c r="W163" s="388"/>
      <c r="X163" s="388"/>
      <c r="Y163" s="388"/>
    </row>
    <row r="164" spans="2:25" ht="12" customHeight="1">
      <c r="B164" s="388"/>
      <c r="C164" s="388"/>
      <c r="D164" s="388"/>
      <c r="E164" s="388"/>
      <c r="F164" s="388"/>
      <c r="G164" s="388"/>
      <c r="H164" s="388"/>
      <c r="I164" s="388"/>
      <c r="J164" s="388"/>
      <c r="K164" s="388"/>
      <c r="L164" s="388"/>
      <c r="M164" s="388"/>
      <c r="N164" s="388"/>
      <c r="O164" s="388"/>
      <c r="P164" s="388"/>
      <c r="Q164" s="388"/>
      <c r="R164" s="388"/>
      <c r="S164" s="388"/>
      <c r="T164" s="388"/>
      <c r="U164" s="388"/>
      <c r="V164" s="388"/>
      <c r="W164" s="388"/>
      <c r="X164" s="388"/>
      <c r="Y164" s="388"/>
    </row>
    <row r="165" spans="2:25" ht="12" customHeight="1">
      <c r="B165" s="388"/>
      <c r="C165" s="388"/>
      <c r="D165" s="388"/>
      <c r="E165" s="388"/>
      <c r="F165" s="388"/>
      <c r="G165" s="388"/>
      <c r="H165" s="388"/>
      <c r="I165" s="388"/>
      <c r="J165" s="388"/>
      <c r="K165" s="388"/>
      <c r="L165" s="388"/>
      <c r="M165" s="388"/>
      <c r="N165" s="388"/>
      <c r="O165" s="388"/>
      <c r="P165" s="388"/>
      <c r="Q165" s="388"/>
      <c r="R165" s="388"/>
      <c r="S165" s="388"/>
      <c r="T165" s="388"/>
      <c r="U165" s="388"/>
      <c r="V165" s="388"/>
      <c r="W165" s="388"/>
      <c r="X165" s="388"/>
      <c r="Y165" s="388"/>
    </row>
    <row r="166" spans="2:25" ht="12" customHeight="1">
      <c r="B166" s="388"/>
      <c r="C166" s="388"/>
      <c r="D166" s="388"/>
      <c r="E166" s="388"/>
      <c r="F166" s="388"/>
      <c r="G166" s="388"/>
      <c r="H166" s="388"/>
      <c r="I166" s="388"/>
      <c r="J166" s="388"/>
      <c r="K166" s="388"/>
      <c r="L166" s="388"/>
      <c r="M166" s="388"/>
      <c r="N166" s="388"/>
      <c r="O166" s="388"/>
      <c r="P166" s="388"/>
      <c r="Q166" s="388"/>
      <c r="R166" s="388"/>
      <c r="S166" s="388"/>
      <c r="T166" s="388"/>
      <c r="U166" s="388"/>
      <c r="V166" s="388"/>
      <c r="W166" s="388"/>
      <c r="X166" s="388"/>
      <c r="Y166" s="388"/>
    </row>
    <row r="167" spans="2:25" ht="12" customHeight="1">
      <c r="B167" s="388"/>
      <c r="C167" s="388"/>
      <c r="D167" s="388"/>
      <c r="E167" s="388"/>
      <c r="F167" s="388"/>
      <c r="G167" s="388"/>
      <c r="H167" s="388"/>
      <c r="I167" s="388"/>
      <c r="J167" s="388"/>
      <c r="K167" s="388"/>
      <c r="L167" s="388"/>
      <c r="M167" s="388"/>
      <c r="N167" s="388"/>
      <c r="O167" s="388"/>
      <c r="P167" s="388"/>
      <c r="Q167" s="388"/>
      <c r="R167" s="388"/>
      <c r="S167" s="388"/>
      <c r="T167" s="388"/>
      <c r="U167" s="388"/>
      <c r="V167" s="388"/>
      <c r="W167" s="388"/>
      <c r="X167" s="388"/>
      <c r="Y167" s="388"/>
    </row>
    <row r="168" spans="2:25" ht="12" customHeight="1">
      <c r="B168" s="388"/>
      <c r="C168" s="388"/>
      <c r="D168" s="388"/>
      <c r="E168" s="388"/>
      <c r="F168" s="388"/>
      <c r="G168" s="388"/>
      <c r="H168" s="388"/>
      <c r="I168" s="388"/>
      <c r="J168" s="388"/>
      <c r="K168" s="388"/>
      <c r="L168" s="388"/>
      <c r="M168" s="388"/>
      <c r="N168" s="388"/>
      <c r="O168" s="388"/>
      <c r="P168" s="388"/>
      <c r="Q168" s="388"/>
      <c r="R168" s="388"/>
      <c r="S168" s="388"/>
      <c r="T168" s="388"/>
      <c r="U168" s="388"/>
      <c r="V168" s="388"/>
      <c r="W168" s="388"/>
      <c r="X168" s="388"/>
      <c r="Y168" s="388"/>
    </row>
    <row r="169" spans="2:25" ht="12" customHeight="1">
      <c r="B169" s="388"/>
      <c r="C169" s="388"/>
      <c r="D169" s="388"/>
      <c r="E169" s="388"/>
      <c r="F169" s="388"/>
      <c r="G169" s="388"/>
      <c r="H169" s="388"/>
      <c r="I169" s="388"/>
      <c r="J169" s="388"/>
      <c r="K169" s="388"/>
      <c r="L169" s="388"/>
      <c r="M169" s="388"/>
      <c r="N169" s="388"/>
      <c r="O169" s="388"/>
      <c r="P169" s="388"/>
      <c r="Q169" s="388"/>
      <c r="R169" s="388"/>
      <c r="S169" s="388"/>
      <c r="T169" s="388"/>
      <c r="U169" s="388"/>
      <c r="V169" s="388"/>
      <c r="W169" s="388"/>
      <c r="X169" s="388"/>
      <c r="Y169" s="388"/>
    </row>
    <row r="170" spans="2:25" ht="12" customHeight="1">
      <c r="B170" s="388"/>
      <c r="C170" s="388"/>
      <c r="D170" s="388"/>
      <c r="E170" s="388"/>
      <c r="F170" s="388"/>
      <c r="G170" s="388"/>
      <c r="H170" s="388"/>
      <c r="I170" s="388"/>
      <c r="J170" s="388"/>
      <c r="K170" s="388"/>
      <c r="L170" s="388"/>
      <c r="M170" s="388"/>
      <c r="N170" s="388"/>
      <c r="O170" s="388"/>
      <c r="P170" s="388"/>
      <c r="Q170" s="388"/>
      <c r="R170" s="388"/>
      <c r="S170" s="388"/>
      <c r="T170" s="388"/>
      <c r="U170" s="388"/>
      <c r="V170" s="388"/>
      <c r="W170" s="388"/>
      <c r="X170" s="388"/>
      <c r="Y170" s="388"/>
    </row>
    <row r="171" spans="2:25" ht="12" customHeight="1">
      <c r="B171" s="388"/>
      <c r="C171" s="388"/>
      <c r="D171" s="388"/>
      <c r="E171" s="388"/>
      <c r="F171" s="388"/>
      <c r="G171" s="388"/>
      <c r="H171" s="388"/>
      <c r="I171" s="388"/>
      <c r="J171" s="388"/>
      <c r="K171" s="388"/>
      <c r="L171" s="388"/>
      <c r="M171" s="388"/>
      <c r="N171" s="388"/>
      <c r="O171" s="388"/>
      <c r="P171" s="388"/>
      <c r="Q171" s="388"/>
      <c r="R171" s="388"/>
      <c r="S171" s="388"/>
      <c r="T171" s="388"/>
      <c r="U171" s="388"/>
      <c r="V171" s="388"/>
      <c r="W171" s="388"/>
      <c r="X171" s="388"/>
      <c r="Y171" s="388"/>
    </row>
    <row r="172" spans="2:25" ht="12" customHeight="1">
      <c r="B172" s="388"/>
      <c r="C172" s="388"/>
      <c r="D172" s="388"/>
      <c r="E172" s="388"/>
      <c r="F172" s="388"/>
      <c r="G172" s="388"/>
      <c r="H172" s="388"/>
      <c r="I172" s="388"/>
      <c r="J172" s="388"/>
      <c r="K172" s="388"/>
      <c r="L172" s="388"/>
      <c r="M172" s="388"/>
      <c r="N172" s="388"/>
      <c r="O172" s="388"/>
      <c r="P172" s="388"/>
      <c r="Q172" s="388"/>
      <c r="R172" s="388"/>
      <c r="S172" s="388"/>
      <c r="T172" s="388"/>
      <c r="U172" s="388"/>
      <c r="V172" s="388"/>
      <c r="W172" s="388"/>
      <c r="X172" s="388"/>
      <c r="Y172" s="388"/>
    </row>
    <row r="173" spans="2:25" ht="12" customHeight="1"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</row>
    <row r="174" spans="2:25" ht="12" customHeight="1">
      <c r="B174" s="388"/>
      <c r="C174" s="388"/>
      <c r="D174" s="388"/>
      <c r="E174" s="388"/>
      <c r="F174" s="388"/>
      <c r="G174" s="388"/>
      <c r="H174" s="388"/>
      <c r="I174" s="388"/>
      <c r="J174" s="388"/>
      <c r="K174" s="388"/>
      <c r="L174" s="388"/>
      <c r="M174" s="388"/>
      <c r="N174" s="388"/>
      <c r="O174" s="388"/>
      <c r="P174" s="388"/>
      <c r="Q174" s="388"/>
      <c r="R174" s="388"/>
      <c r="S174" s="388"/>
      <c r="T174" s="388"/>
      <c r="U174" s="388"/>
      <c r="V174" s="388"/>
      <c r="W174" s="388"/>
      <c r="X174" s="388"/>
      <c r="Y174" s="388"/>
    </row>
    <row r="175" spans="2:25" ht="12" customHeight="1">
      <c r="B175" s="388"/>
      <c r="C175" s="388"/>
      <c r="D175" s="388"/>
      <c r="E175" s="388"/>
      <c r="F175" s="388"/>
      <c r="G175" s="388"/>
      <c r="H175" s="388"/>
      <c r="I175" s="388"/>
      <c r="J175" s="388"/>
      <c r="K175" s="388"/>
      <c r="L175" s="388"/>
      <c r="M175" s="388"/>
      <c r="N175" s="388"/>
      <c r="O175" s="388"/>
      <c r="P175" s="388"/>
      <c r="Q175" s="388"/>
      <c r="R175" s="388"/>
      <c r="S175" s="388"/>
      <c r="T175" s="388"/>
      <c r="U175" s="388"/>
      <c r="V175" s="388"/>
      <c r="W175" s="388"/>
      <c r="X175" s="388"/>
      <c r="Y175" s="388"/>
    </row>
    <row r="176" spans="2:25" ht="12" customHeight="1">
      <c r="B176" s="388"/>
      <c r="C176" s="388"/>
      <c r="D176" s="388"/>
      <c r="E176" s="388"/>
      <c r="F176" s="388"/>
      <c r="G176" s="388"/>
      <c r="H176" s="388"/>
      <c r="I176" s="388"/>
      <c r="J176" s="388"/>
      <c r="K176" s="388"/>
      <c r="L176" s="388"/>
      <c r="M176" s="388"/>
      <c r="N176" s="388"/>
      <c r="O176" s="388"/>
      <c r="P176" s="388"/>
      <c r="Q176" s="388"/>
      <c r="R176" s="388"/>
      <c r="S176" s="388"/>
      <c r="T176" s="388"/>
      <c r="U176" s="388"/>
      <c r="V176" s="388"/>
      <c r="W176" s="388"/>
      <c r="X176" s="388"/>
      <c r="Y176" s="388"/>
    </row>
    <row r="177" spans="2:25" ht="12" customHeight="1">
      <c r="B177" s="388"/>
      <c r="C177" s="388"/>
      <c r="D177" s="388"/>
      <c r="E177" s="388"/>
      <c r="F177" s="388"/>
      <c r="G177" s="388"/>
      <c r="H177" s="388"/>
      <c r="I177" s="388"/>
      <c r="J177" s="388"/>
      <c r="K177" s="388"/>
      <c r="L177" s="388"/>
      <c r="M177" s="388"/>
      <c r="N177" s="388"/>
      <c r="O177" s="388"/>
      <c r="P177" s="388"/>
      <c r="Q177" s="388"/>
      <c r="R177" s="388"/>
      <c r="S177" s="388"/>
      <c r="T177" s="388"/>
      <c r="U177" s="388"/>
      <c r="V177" s="388"/>
      <c r="W177" s="388"/>
      <c r="X177" s="388"/>
      <c r="Y177" s="388"/>
    </row>
    <row r="178" spans="2:25" ht="12" customHeight="1">
      <c r="B178" s="388"/>
      <c r="C178" s="388"/>
      <c r="D178" s="388"/>
      <c r="E178" s="388"/>
      <c r="F178" s="388"/>
      <c r="G178" s="388"/>
      <c r="H178" s="388"/>
      <c r="I178" s="388"/>
      <c r="J178" s="388"/>
      <c r="K178" s="388"/>
      <c r="L178" s="388"/>
      <c r="M178" s="388"/>
      <c r="N178" s="388"/>
      <c r="O178" s="388"/>
      <c r="P178" s="388"/>
      <c r="Q178" s="388"/>
      <c r="R178" s="388"/>
      <c r="S178" s="388"/>
      <c r="T178" s="388"/>
      <c r="U178" s="388"/>
      <c r="V178" s="388"/>
      <c r="W178" s="388"/>
      <c r="X178" s="388"/>
      <c r="Y178" s="388"/>
    </row>
    <row r="179" spans="2:25" ht="12" customHeight="1">
      <c r="B179" s="388"/>
      <c r="C179" s="388"/>
      <c r="D179" s="388"/>
      <c r="E179" s="388"/>
      <c r="F179" s="388"/>
      <c r="G179" s="388"/>
      <c r="H179" s="388"/>
      <c r="I179" s="388"/>
      <c r="J179" s="388"/>
      <c r="K179" s="388"/>
      <c r="L179" s="388"/>
      <c r="M179" s="388"/>
      <c r="N179" s="388"/>
      <c r="O179" s="388"/>
      <c r="P179" s="388"/>
      <c r="Q179" s="388"/>
      <c r="R179" s="388"/>
      <c r="S179" s="388"/>
      <c r="T179" s="388"/>
      <c r="U179" s="388"/>
      <c r="V179" s="388"/>
      <c r="W179" s="388"/>
      <c r="X179" s="388"/>
      <c r="Y179" s="388"/>
    </row>
    <row r="180" spans="2:25" ht="12" customHeight="1">
      <c r="B180" s="388"/>
      <c r="C180" s="388"/>
      <c r="D180" s="388"/>
      <c r="E180" s="388"/>
      <c r="F180" s="388"/>
      <c r="G180" s="388"/>
      <c r="H180" s="388"/>
      <c r="I180" s="388"/>
      <c r="J180" s="388"/>
      <c r="K180" s="388"/>
      <c r="L180" s="388"/>
      <c r="M180" s="388"/>
      <c r="N180" s="388"/>
      <c r="O180" s="388"/>
      <c r="P180" s="388"/>
      <c r="Q180" s="388"/>
      <c r="R180" s="388"/>
      <c r="S180" s="388"/>
      <c r="T180" s="388"/>
      <c r="U180" s="388"/>
      <c r="V180" s="388"/>
      <c r="W180" s="388"/>
      <c r="X180" s="388"/>
      <c r="Y180" s="388"/>
    </row>
    <row r="181" spans="2:25" ht="12" customHeight="1">
      <c r="B181" s="388"/>
      <c r="C181" s="388"/>
      <c r="D181" s="388"/>
      <c r="E181" s="388"/>
      <c r="F181" s="388"/>
      <c r="G181" s="388"/>
      <c r="H181" s="388"/>
      <c r="I181" s="388"/>
      <c r="J181" s="388"/>
      <c r="K181" s="388"/>
      <c r="L181" s="388"/>
      <c r="M181" s="388"/>
      <c r="N181" s="388"/>
      <c r="O181" s="388"/>
      <c r="P181" s="388"/>
      <c r="Q181" s="388"/>
      <c r="R181" s="388"/>
      <c r="S181" s="388"/>
      <c r="T181" s="388"/>
      <c r="U181" s="388"/>
      <c r="V181" s="388"/>
      <c r="W181" s="388"/>
      <c r="X181" s="388"/>
      <c r="Y181" s="388"/>
    </row>
    <row r="182" spans="2:25" ht="12" customHeight="1">
      <c r="B182" s="388"/>
      <c r="C182" s="388"/>
      <c r="D182" s="388"/>
      <c r="E182" s="388"/>
      <c r="F182" s="388"/>
      <c r="G182" s="388"/>
      <c r="H182" s="388"/>
      <c r="I182" s="388"/>
      <c r="J182" s="388"/>
      <c r="K182" s="388"/>
      <c r="L182" s="388"/>
      <c r="M182" s="388"/>
      <c r="N182" s="388"/>
      <c r="O182" s="388"/>
      <c r="P182" s="388"/>
      <c r="Q182" s="388"/>
      <c r="R182" s="388"/>
      <c r="S182" s="388"/>
      <c r="T182" s="388"/>
      <c r="U182" s="388"/>
      <c r="V182" s="388"/>
      <c r="W182" s="388"/>
      <c r="X182" s="388"/>
      <c r="Y182" s="388"/>
    </row>
    <row r="183" spans="2:25" ht="12" customHeight="1">
      <c r="B183" s="388"/>
      <c r="C183" s="388"/>
      <c r="D183" s="388"/>
      <c r="E183" s="388"/>
      <c r="F183" s="388"/>
      <c r="G183" s="388"/>
      <c r="H183" s="388"/>
      <c r="I183" s="388"/>
      <c r="J183" s="388"/>
      <c r="K183" s="388"/>
      <c r="L183" s="388"/>
      <c r="M183" s="388"/>
      <c r="N183" s="388"/>
      <c r="O183" s="388"/>
      <c r="P183" s="388"/>
      <c r="Q183" s="388"/>
      <c r="R183" s="388"/>
      <c r="S183" s="388"/>
      <c r="T183" s="388"/>
      <c r="U183" s="388"/>
      <c r="V183" s="388"/>
      <c r="W183" s="388"/>
      <c r="X183" s="388"/>
      <c r="Y183" s="388"/>
    </row>
    <row r="184" spans="2:25" ht="12" customHeight="1">
      <c r="B184" s="388"/>
      <c r="C184" s="388"/>
      <c r="D184" s="388"/>
      <c r="E184" s="388"/>
      <c r="F184" s="388"/>
      <c r="G184" s="388"/>
      <c r="H184" s="388"/>
      <c r="I184" s="388"/>
      <c r="J184" s="388"/>
      <c r="K184" s="388"/>
      <c r="L184" s="388"/>
      <c r="M184" s="388"/>
      <c r="N184" s="388"/>
      <c r="O184" s="388"/>
      <c r="P184" s="388"/>
      <c r="Q184" s="388"/>
      <c r="R184" s="388"/>
      <c r="S184" s="388"/>
      <c r="T184" s="388"/>
      <c r="U184" s="388"/>
      <c r="V184" s="388"/>
      <c r="W184" s="388"/>
      <c r="X184" s="388"/>
      <c r="Y184" s="388"/>
    </row>
    <row r="185" spans="2:25" ht="12" customHeight="1">
      <c r="B185" s="388"/>
      <c r="C185" s="388"/>
      <c r="D185" s="388"/>
      <c r="E185" s="388"/>
      <c r="F185" s="388"/>
      <c r="G185" s="388"/>
      <c r="H185" s="388"/>
      <c r="I185" s="388"/>
      <c r="J185" s="388"/>
      <c r="K185" s="388"/>
      <c r="L185" s="388"/>
      <c r="M185" s="388"/>
      <c r="N185" s="388"/>
      <c r="O185" s="388"/>
      <c r="P185" s="388"/>
      <c r="Q185" s="388"/>
      <c r="R185" s="388"/>
      <c r="S185" s="388"/>
      <c r="T185" s="388"/>
      <c r="U185" s="388"/>
      <c r="V185" s="388"/>
      <c r="W185" s="388"/>
      <c r="X185" s="388"/>
      <c r="Y185" s="388"/>
    </row>
    <row r="186" spans="2:25" ht="12" customHeight="1">
      <c r="B186" s="388"/>
      <c r="C186" s="388"/>
      <c r="D186" s="388"/>
      <c r="E186" s="388"/>
      <c r="F186" s="388"/>
      <c r="G186" s="388"/>
      <c r="H186" s="388"/>
      <c r="I186" s="388"/>
      <c r="J186" s="388"/>
      <c r="K186" s="388"/>
      <c r="L186" s="388"/>
      <c r="M186" s="388"/>
      <c r="N186" s="388"/>
      <c r="O186" s="388"/>
      <c r="P186" s="388"/>
      <c r="Q186" s="388"/>
      <c r="R186" s="388"/>
      <c r="S186" s="388"/>
      <c r="T186" s="388"/>
      <c r="U186" s="388"/>
      <c r="V186" s="388"/>
      <c r="W186" s="388"/>
      <c r="X186" s="388"/>
      <c r="Y186" s="388"/>
    </row>
    <row r="187" spans="2:25" ht="12" customHeight="1">
      <c r="B187" s="388"/>
      <c r="C187" s="388"/>
      <c r="D187" s="388"/>
      <c r="E187" s="388"/>
      <c r="F187" s="388"/>
      <c r="G187" s="388"/>
      <c r="H187" s="388"/>
      <c r="I187" s="388"/>
      <c r="J187" s="388"/>
      <c r="K187" s="388"/>
      <c r="L187" s="388"/>
      <c r="M187" s="388"/>
      <c r="N187" s="388"/>
      <c r="O187" s="388"/>
      <c r="P187" s="388"/>
      <c r="Q187" s="388"/>
      <c r="R187" s="388"/>
      <c r="S187" s="388"/>
      <c r="T187" s="388"/>
      <c r="U187" s="388"/>
      <c r="V187" s="388"/>
      <c r="W187" s="388"/>
      <c r="X187" s="388"/>
      <c r="Y187" s="388"/>
    </row>
    <row r="188" spans="2:25" ht="12" customHeight="1">
      <c r="B188" s="388"/>
      <c r="C188" s="388"/>
      <c r="D188" s="388"/>
      <c r="E188" s="388"/>
      <c r="F188" s="388"/>
      <c r="G188" s="388"/>
      <c r="H188" s="388"/>
      <c r="I188" s="388"/>
      <c r="J188" s="388"/>
      <c r="K188" s="388"/>
      <c r="L188" s="388"/>
      <c r="M188" s="388"/>
      <c r="N188" s="388"/>
      <c r="O188" s="388"/>
      <c r="P188" s="388"/>
      <c r="Q188" s="388"/>
      <c r="R188" s="388"/>
      <c r="S188" s="388"/>
      <c r="T188" s="388"/>
      <c r="U188" s="388"/>
      <c r="V188" s="388"/>
      <c r="W188" s="388"/>
      <c r="X188" s="388"/>
      <c r="Y188" s="388"/>
    </row>
    <row r="189" spans="2:25" ht="12" customHeight="1">
      <c r="B189" s="388"/>
      <c r="C189" s="388"/>
      <c r="D189" s="388"/>
      <c r="E189" s="388"/>
      <c r="F189" s="388"/>
      <c r="G189" s="388"/>
      <c r="H189" s="388"/>
      <c r="I189" s="388"/>
      <c r="J189" s="388"/>
      <c r="K189" s="388"/>
      <c r="L189" s="388"/>
      <c r="M189" s="388"/>
      <c r="N189" s="388"/>
      <c r="O189" s="388"/>
      <c r="P189" s="388"/>
      <c r="Q189" s="388"/>
      <c r="R189" s="388"/>
      <c r="S189" s="388"/>
      <c r="T189" s="388"/>
      <c r="U189" s="388"/>
      <c r="V189" s="388"/>
      <c r="W189" s="388"/>
      <c r="X189" s="388"/>
      <c r="Y189" s="388"/>
    </row>
    <row r="190" spans="2:25" ht="12" customHeight="1">
      <c r="B190" s="388"/>
      <c r="C190" s="388"/>
      <c r="D190" s="388"/>
      <c r="E190" s="388"/>
      <c r="F190" s="388"/>
      <c r="G190" s="388"/>
      <c r="H190" s="388"/>
      <c r="I190" s="388"/>
      <c r="J190" s="388"/>
      <c r="K190" s="388"/>
      <c r="L190" s="388"/>
      <c r="M190" s="388"/>
      <c r="N190" s="388"/>
      <c r="O190" s="388"/>
      <c r="P190" s="388"/>
      <c r="Q190" s="388"/>
      <c r="R190" s="388"/>
      <c r="S190" s="388"/>
      <c r="T190" s="388"/>
      <c r="U190" s="388"/>
      <c r="V190" s="388"/>
      <c r="W190" s="388"/>
      <c r="X190" s="388"/>
      <c r="Y190" s="388"/>
    </row>
    <row r="191" spans="2:25" ht="12" customHeight="1">
      <c r="B191" s="388"/>
      <c r="C191" s="388"/>
      <c r="D191" s="388"/>
      <c r="E191" s="388"/>
      <c r="F191" s="388"/>
      <c r="G191" s="388"/>
      <c r="H191" s="388"/>
      <c r="I191" s="388"/>
      <c r="J191" s="388"/>
      <c r="K191" s="388"/>
      <c r="L191" s="388"/>
      <c r="M191" s="388"/>
      <c r="N191" s="388"/>
      <c r="O191" s="388"/>
      <c r="P191" s="388"/>
      <c r="Q191" s="388"/>
      <c r="R191" s="388"/>
      <c r="S191" s="388"/>
      <c r="T191" s="388"/>
      <c r="U191" s="388"/>
      <c r="V191" s="388"/>
      <c r="W191" s="388"/>
      <c r="X191" s="388"/>
      <c r="Y191" s="388"/>
    </row>
    <row r="192" spans="2:25" ht="12" customHeight="1">
      <c r="B192" s="388"/>
      <c r="C192" s="388"/>
      <c r="D192" s="388"/>
      <c r="E192" s="388"/>
      <c r="F192" s="388"/>
      <c r="G192" s="388"/>
      <c r="H192" s="388"/>
      <c r="I192" s="388"/>
      <c r="J192" s="388"/>
      <c r="K192" s="388"/>
      <c r="L192" s="388"/>
      <c r="M192" s="388"/>
      <c r="N192" s="388"/>
      <c r="O192" s="388"/>
      <c r="P192" s="388"/>
      <c r="Q192" s="388"/>
      <c r="R192" s="388"/>
      <c r="S192" s="388"/>
      <c r="T192" s="388"/>
      <c r="U192" s="388"/>
      <c r="V192" s="388"/>
      <c r="W192" s="388"/>
      <c r="X192" s="388"/>
      <c r="Y192" s="388"/>
    </row>
    <row r="193" spans="2:25" ht="12" customHeight="1">
      <c r="B193" s="388"/>
      <c r="C193" s="388"/>
      <c r="D193" s="388"/>
      <c r="E193" s="388"/>
      <c r="F193" s="388"/>
      <c r="G193" s="388"/>
      <c r="H193" s="388"/>
      <c r="I193" s="388"/>
      <c r="J193" s="388"/>
      <c r="K193" s="388"/>
      <c r="L193" s="388"/>
      <c r="M193" s="388"/>
      <c r="N193" s="388"/>
      <c r="O193" s="388"/>
      <c r="P193" s="388"/>
      <c r="Q193" s="388"/>
      <c r="R193" s="388"/>
      <c r="S193" s="388"/>
      <c r="T193" s="388"/>
      <c r="U193" s="388"/>
      <c r="V193" s="388"/>
      <c r="W193" s="388"/>
      <c r="X193" s="388"/>
      <c r="Y193" s="388"/>
    </row>
    <row r="194" spans="2:25" ht="12" customHeight="1">
      <c r="B194" s="388"/>
      <c r="C194" s="388"/>
      <c r="D194" s="388"/>
      <c r="E194" s="388"/>
      <c r="F194" s="388"/>
      <c r="G194" s="388"/>
      <c r="H194" s="388"/>
      <c r="I194" s="388"/>
      <c r="J194" s="388"/>
      <c r="K194" s="388"/>
      <c r="L194" s="388"/>
      <c r="M194" s="388"/>
      <c r="N194" s="388"/>
      <c r="O194" s="388"/>
      <c r="P194" s="388"/>
      <c r="Q194" s="388"/>
      <c r="R194" s="388"/>
      <c r="S194" s="388"/>
      <c r="T194" s="388"/>
      <c r="U194" s="388"/>
      <c r="V194" s="388"/>
      <c r="W194" s="388"/>
      <c r="X194" s="388"/>
      <c r="Y194" s="388"/>
    </row>
    <row r="195" spans="2:25" ht="12" customHeight="1">
      <c r="B195" s="388"/>
      <c r="C195" s="388"/>
      <c r="D195" s="388"/>
      <c r="E195" s="388"/>
      <c r="F195" s="388"/>
      <c r="G195" s="388"/>
      <c r="H195" s="388"/>
      <c r="I195" s="388"/>
      <c r="J195" s="388"/>
      <c r="K195" s="388"/>
      <c r="L195" s="388"/>
      <c r="M195" s="388"/>
      <c r="N195" s="388"/>
      <c r="O195" s="388"/>
      <c r="P195" s="388"/>
      <c r="Q195" s="388"/>
      <c r="R195" s="388"/>
      <c r="S195" s="388"/>
      <c r="T195" s="388"/>
      <c r="U195" s="388"/>
      <c r="V195" s="388"/>
      <c r="W195" s="388"/>
      <c r="X195" s="388"/>
      <c r="Y195" s="388"/>
    </row>
    <row r="196" spans="2:25" ht="12" customHeight="1">
      <c r="B196" s="388"/>
      <c r="C196" s="388"/>
      <c r="D196" s="388"/>
      <c r="E196" s="388"/>
      <c r="F196" s="388"/>
      <c r="G196" s="388"/>
      <c r="H196" s="388"/>
      <c r="I196" s="388"/>
      <c r="J196" s="388"/>
      <c r="K196" s="388"/>
      <c r="L196" s="388"/>
      <c r="M196" s="388"/>
      <c r="N196" s="388"/>
      <c r="O196" s="388"/>
      <c r="P196" s="388"/>
      <c r="Q196" s="388"/>
      <c r="R196" s="388"/>
      <c r="S196" s="388"/>
      <c r="T196" s="388"/>
      <c r="U196" s="388"/>
      <c r="V196" s="388"/>
      <c r="W196" s="388"/>
      <c r="X196" s="388"/>
      <c r="Y196" s="388"/>
    </row>
    <row r="197" spans="2:25" ht="12" customHeight="1">
      <c r="B197" s="388"/>
      <c r="C197" s="388"/>
      <c r="D197" s="388"/>
      <c r="E197" s="388"/>
      <c r="F197" s="388"/>
      <c r="G197" s="388"/>
      <c r="H197" s="388"/>
      <c r="I197" s="388"/>
      <c r="J197" s="388"/>
      <c r="K197" s="388"/>
      <c r="L197" s="388"/>
      <c r="M197" s="388"/>
      <c r="N197" s="388"/>
      <c r="O197" s="388"/>
      <c r="P197" s="388"/>
      <c r="Q197" s="388"/>
      <c r="R197" s="388"/>
      <c r="S197" s="388"/>
      <c r="T197" s="388"/>
      <c r="U197" s="388"/>
      <c r="V197" s="388"/>
      <c r="W197" s="388"/>
      <c r="X197" s="388"/>
      <c r="Y197" s="388"/>
    </row>
    <row r="198" spans="2:25" ht="12" customHeight="1">
      <c r="B198" s="388"/>
      <c r="C198" s="388"/>
      <c r="D198" s="388"/>
      <c r="E198" s="388"/>
      <c r="F198" s="388"/>
      <c r="G198" s="388"/>
      <c r="H198" s="388"/>
      <c r="I198" s="388"/>
      <c r="J198" s="388"/>
      <c r="K198" s="388"/>
      <c r="L198" s="388"/>
      <c r="M198" s="388"/>
      <c r="N198" s="388"/>
      <c r="O198" s="388"/>
      <c r="P198" s="388"/>
      <c r="Q198" s="388"/>
      <c r="R198" s="388"/>
      <c r="S198" s="388"/>
      <c r="T198" s="388"/>
      <c r="U198" s="388"/>
      <c r="V198" s="388"/>
      <c r="W198" s="388"/>
      <c r="X198" s="388"/>
      <c r="Y198" s="388"/>
    </row>
    <row r="199" spans="2:25" ht="12" customHeight="1">
      <c r="B199" s="388"/>
      <c r="C199" s="388"/>
      <c r="D199" s="388"/>
      <c r="E199" s="388"/>
      <c r="F199" s="388"/>
      <c r="G199" s="388"/>
      <c r="H199" s="388"/>
      <c r="I199" s="388"/>
      <c r="J199" s="388"/>
      <c r="K199" s="388"/>
      <c r="L199" s="388"/>
      <c r="M199" s="388"/>
      <c r="N199" s="388"/>
      <c r="O199" s="388"/>
      <c r="P199" s="388"/>
      <c r="Q199" s="388"/>
      <c r="R199" s="388"/>
      <c r="S199" s="388"/>
      <c r="T199" s="388"/>
      <c r="U199" s="388"/>
      <c r="V199" s="388"/>
      <c r="W199" s="388"/>
      <c r="X199" s="388"/>
      <c r="Y199" s="388"/>
    </row>
    <row r="200" spans="2:25" ht="12" customHeight="1">
      <c r="B200" s="388"/>
      <c r="C200" s="388"/>
      <c r="D200" s="388"/>
      <c r="E200" s="388"/>
      <c r="F200" s="388"/>
      <c r="G200" s="388"/>
      <c r="H200" s="388"/>
      <c r="I200" s="388"/>
      <c r="J200" s="388"/>
      <c r="K200" s="388"/>
      <c r="L200" s="388"/>
      <c r="M200" s="388"/>
      <c r="N200" s="388"/>
      <c r="O200" s="388"/>
      <c r="P200" s="388"/>
      <c r="Q200" s="388"/>
      <c r="R200" s="388"/>
      <c r="S200" s="388"/>
      <c r="T200" s="388"/>
      <c r="U200" s="388"/>
      <c r="V200" s="388"/>
      <c r="W200" s="388"/>
      <c r="X200" s="388"/>
      <c r="Y200" s="388"/>
    </row>
    <row r="201" spans="2:25" ht="12" customHeight="1">
      <c r="B201" s="388"/>
      <c r="C201" s="388"/>
      <c r="D201" s="388"/>
      <c r="E201" s="388"/>
      <c r="F201" s="388"/>
      <c r="G201" s="388"/>
      <c r="H201" s="388"/>
      <c r="I201" s="388"/>
      <c r="J201" s="388"/>
      <c r="K201" s="388"/>
      <c r="L201" s="388"/>
      <c r="M201" s="388"/>
      <c r="N201" s="388"/>
      <c r="O201" s="388"/>
      <c r="P201" s="388"/>
      <c r="Q201" s="388"/>
      <c r="R201" s="388"/>
      <c r="S201" s="388"/>
      <c r="T201" s="388"/>
      <c r="U201" s="388"/>
      <c r="V201" s="388"/>
      <c r="W201" s="388"/>
      <c r="X201" s="388"/>
      <c r="Y201" s="388"/>
    </row>
    <row r="202" spans="2:25" ht="12" customHeight="1">
      <c r="B202" s="388"/>
      <c r="C202" s="388"/>
      <c r="D202" s="388"/>
      <c r="E202" s="388"/>
      <c r="F202" s="388"/>
      <c r="G202" s="388"/>
      <c r="H202" s="388"/>
      <c r="I202" s="388"/>
      <c r="J202" s="388"/>
      <c r="K202" s="388"/>
      <c r="L202" s="388"/>
      <c r="M202" s="388"/>
      <c r="N202" s="388"/>
      <c r="O202" s="388"/>
      <c r="P202" s="388"/>
      <c r="Q202" s="388"/>
      <c r="R202" s="388"/>
      <c r="S202" s="388"/>
      <c r="T202" s="388"/>
      <c r="U202" s="388"/>
      <c r="V202" s="388"/>
      <c r="W202" s="388"/>
      <c r="X202" s="388"/>
      <c r="Y202" s="388"/>
    </row>
    <row r="203" spans="2:25" ht="12" customHeight="1">
      <c r="B203" s="388"/>
      <c r="C203" s="388"/>
      <c r="D203" s="388"/>
      <c r="E203" s="388"/>
      <c r="F203" s="388"/>
      <c r="G203" s="388"/>
      <c r="H203" s="388"/>
      <c r="I203" s="388"/>
      <c r="J203" s="388"/>
      <c r="K203" s="388"/>
      <c r="L203" s="388"/>
      <c r="M203" s="388"/>
      <c r="N203" s="388"/>
      <c r="O203" s="388"/>
      <c r="P203" s="388"/>
      <c r="Q203" s="388"/>
      <c r="R203" s="388"/>
      <c r="S203" s="388"/>
      <c r="T203" s="388"/>
      <c r="U203" s="388"/>
      <c r="V203" s="388"/>
      <c r="W203" s="388"/>
      <c r="X203" s="388"/>
      <c r="Y203" s="388"/>
    </row>
    <row r="204" spans="2:25" ht="12" customHeight="1">
      <c r="B204" s="388"/>
      <c r="C204" s="388"/>
      <c r="D204" s="388"/>
      <c r="E204" s="388"/>
      <c r="F204" s="388"/>
      <c r="G204" s="388"/>
      <c r="H204" s="388"/>
      <c r="I204" s="388"/>
      <c r="J204" s="388"/>
      <c r="K204" s="388"/>
      <c r="L204" s="388"/>
      <c r="M204" s="388"/>
      <c r="N204" s="388"/>
      <c r="O204" s="388"/>
      <c r="P204" s="388"/>
      <c r="Q204" s="388"/>
      <c r="R204" s="388"/>
      <c r="S204" s="388"/>
      <c r="T204" s="388"/>
      <c r="U204" s="388"/>
      <c r="V204" s="388"/>
      <c r="W204" s="388"/>
      <c r="X204" s="388"/>
      <c r="Y204" s="388"/>
    </row>
    <row r="205" spans="2:25" ht="12" customHeight="1">
      <c r="B205" s="388"/>
      <c r="C205" s="388"/>
      <c r="D205" s="388"/>
      <c r="E205" s="388"/>
      <c r="F205" s="388"/>
      <c r="G205" s="388"/>
      <c r="H205" s="388"/>
      <c r="I205" s="388"/>
      <c r="J205" s="388"/>
      <c r="K205" s="388"/>
      <c r="L205" s="388"/>
      <c r="M205" s="388"/>
      <c r="N205" s="388"/>
      <c r="O205" s="388"/>
      <c r="P205" s="388"/>
      <c r="Q205" s="388"/>
      <c r="R205" s="388"/>
      <c r="S205" s="388"/>
      <c r="T205" s="388"/>
      <c r="U205" s="388"/>
      <c r="V205" s="388"/>
      <c r="W205" s="388"/>
      <c r="X205" s="388"/>
      <c r="Y205" s="388"/>
    </row>
    <row r="206" spans="2:25" ht="12" customHeight="1">
      <c r="B206" s="388"/>
      <c r="C206" s="388"/>
      <c r="D206" s="388"/>
      <c r="E206" s="388"/>
      <c r="F206" s="388"/>
      <c r="G206" s="388"/>
      <c r="H206" s="388"/>
      <c r="I206" s="388"/>
      <c r="J206" s="388"/>
      <c r="K206" s="388"/>
      <c r="L206" s="388"/>
      <c r="M206" s="388"/>
      <c r="N206" s="388"/>
      <c r="O206" s="388"/>
      <c r="P206" s="388"/>
      <c r="Q206" s="388"/>
      <c r="R206" s="388"/>
      <c r="S206" s="388"/>
      <c r="T206" s="388"/>
      <c r="U206" s="388"/>
      <c r="V206" s="388"/>
      <c r="W206" s="388"/>
      <c r="X206" s="388"/>
      <c r="Y206" s="388"/>
    </row>
    <row r="207" spans="2:25" ht="12" customHeight="1">
      <c r="B207" s="388"/>
      <c r="C207" s="388"/>
      <c r="D207" s="388"/>
      <c r="E207" s="388"/>
      <c r="F207" s="388"/>
      <c r="G207" s="388"/>
      <c r="H207" s="388"/>
      <c r="I207" s="388"/>
      <c r="J207" s="388"/>
      <c r="K207" s="388"/>
      <c r="L207" s="388"/>
      <c r="M207" s="388"/>
      <c r="N207" s="388"/>
      <c r="O207" s="388"/>
      <c r="P207" s="388"/>
      <c r="Q207" s="388"/>
      <c r="R207" s="388"/>
      <c r="S207" s="388"/>
      <c r="T207" s="388"/>
      <c r="U207" s="388"/>
      <c r="V207" s="388"/>
      <c r="W207" s="388"/>
      <c r="X207" s="388"/>
      <c r="Y207" s="388"/>
    </row>
    <row r="208" spans="2:25" ht="12" customHeight="1">
      <c r="B208" s="388"/>
      <c r="C208" s="388"/>
      <c r="D208" s="388"/>
      <c r="E208" s="388"/>
      <c r="F208" s="388"/>
      <c r="G208" s="388"/>
      <c r="H208" s="388"/>
      <c r="I208" s="388"/>
      <c r="J208" s="388"/>
      <c r="K208" s="388"/>
      <c r="L208" s="388"/>
      <c r="M208" s="388"/>
      <c r="N208" s="388"/>
      <c r="O208" s="388"/>
      <c r="P208" s="388"/>
      <c r="Q208" s="388"/>
      <c r="R208" s="388"/>
      <c r="S208" s="388"/>
      <c r="T208" s="388"/>
      <c r="U208" s="388"/>
      <c r="V208" s="388"/>
      <c r="W208" s="388"/>
      <c r="X208" s="388"/>
      <c r="Y208" s="388"/>
    </row>
    <row r="209" spans="2:25" ht="12" customHeight="1">
      <c r="B209" s="388"/>
      <c r="C209" s="388"/>
      <c r="D209" s="388"/>
      <c r="E209" s="388"/>
      <c r="F209" s="388"/>
      <c r="G209" s="388"/>
      <c r="H209" s="388"/>
      <c r="I209" s="388"/>
      <c r="J209" s="388"/>
      <c r="K209" s="388"/>
      <c r="L209" s="388"/>
      <c r="M209" s="388"/>
      <c r="N209" s="388"/>
      <c r="O209" s="388"/>
      <c r="P209" s="388"/>
      <c r="Q209" s="388"/>
      <c r="R209" s="388"/>
      <c r="S209" s="388"/>
      <c r="T209" s="388"/>
      <c r="U209" s="388"/>
      <c r="V209" s="388"/>
      <c r="W209" s="388"/>
      <c r="X209" s="388"/>
      <c r="Y209" s="388"/>
    </row>
    <row r="210" spans="2:25" ht="12" customHeight="1">
      <c r="B210" s="388"/>
      <c r="C210" s="388"/>
      <c r="D210" s="388"/>
      <c r="E210" s="388"/>
      <c r="F210" s="388"/>
      <c r="G210" s="388"/>
      <c r="H210" s="388"/>
      <c r="I210" s="388"/>
      <c r="J210" s="388"/>
      <c r="K210" s="388"/>
      <c r="L210" s="388"/>
      <c r="M210" s="388"/>
      <c r="N210" s="388"/>
      <c r="O210" s="388"/>
      <c r="P210" s="388"/>
      <c r="Q210" s="388"/>
      <c r="R210" s="388"/>
      <c r="S210" s="388"/>
      <c r="T210" s="388"/>
      <c r="U210" s="388"/>
      <c r="V210" s="388"/>
      <c r="W210" s="388"/>
      <c r="X210" s="388"/>
      <c r="Y210" s="3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33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1" sqref="D11"/>
    </sheetView>
  </sheetViews>
  <sheetFormatPr defaultColWidth="11.421875" defaultRowHeight="15"/>
  <cols>
    <col min="1" max="1" width="5.28125" style="4" customWidth="1"/>
    <col min="2" max="2" width="11.421875" style="4" customWidth="1"/>
    <col min="3" max="3" width="39.7109375" style="4" customWidth="1"/>
    <col min="4" max="11" width="12.7109375" style="4" customWidth="1"/>
    <col min="12" max="14" width="9.7109375" style="4" hidden="1" customWidth="1"/>
    <col min="15" max="25" width="10.7109375" style="4" hidden="1" customWidth="1"/>
    <col min="26" max="26" width="10.8515625" style="4" hidden="1" customWidth="1"/>
    <col min="27" max="35" width="10.7109375" style="4" hidden="1" customWidth="1"/>
    <col min="36" max="36" width="0" style="4" hidden="1" customWidth="1"/>
    <col min="37" max="16384" width="11.421875" style="4" customWidth="1"/>
  </cols>
  <sheetData>
    <row r="1" spans="1:11" ht="12">
      <c r="A1" s="436" t="s">
        <v>1</v>
      </c>
      <c r="B1" s="436"/>
      <c r="C1" s="436"/>
      <c r="D1" s="3"/>
      <c r="E1" s="3"/>
      <c r="F1" s="3"/>
      <c r="G1" s="3"/>
      <c r="H1" s="3"/>
      <c r="I1" s="3"/>
      <c r="J1" s="3"/>
      <c r="K1" s="3"/>
    </row>
    <row r="2" spans="1:11" ht="1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35" s="160" customFormat="1" ht="35.25" customHeight="1">
      <c r="A3" s="453" t="s">
        <v>187</v>
      </c>
      <c r="B3" s="454"/>
      <c r="C3" s="454"/>
      <c r="D3" s="159" t="s">
        <v>188</v>
      </c>
      <c r="E3" s="159" t="s">
        <v>189</v>
      </c>
      <c r="F3" s="159" t="s">
        <v>190</v>
      </c>
      <c r="G3" s="159" t="s">
        <v>191</v>
      </c>
      <c r="H3" s="159" t="s">
        <v>192</v>
      </c>
      <c r="I3" s="159" t="s">
        <v>193</v>
      </c>
      <c r="J3" s="159" t="s">
        <v>194</v>
      </c>
      <c r="K3" s="159" t="s">
        <v>195</v>
      </c>
      <c r="L3" s="139">
        <v>1</v>
      </c>
      <c r="M3" s="139">
        <v>2</v>
      </c>
      <c r="N3" s="139">
        <v>3</v>
      </c>
      <c r="O3" s="139">
        <v>4</v>
      </c>
      <c r="P3" s="139">
        <v>5</v>
      </c>
      <c r="Q3" s="139">
        <v>6</v>
      </c>
      <c r="R3" s="139">
        <v>7</v>
      </c>
      <c r="S3" s="139">
        <v>8</v>
      </c>
      <c r="T3" s="139">
        <v>9</v>
      </c>
      <c r="U3" s="139">
        <v>10</v>
      </c>
      <c r="V3" s="139">
        <v>11</v>
      </c>
      <c r="W3" s="139">
        <v>12</v>
      </c>
      <c r="X3" s="139">
        <v>13</v>
      </c>
      <c r="Y3" s="139">
        <v>14</v>
      </c>
      <c r="Z3" s="139">
        <v>15</v>
      </c>
      <c r="AA3" s="139">
        <v>16</v>
      </c>
      <c r="AB3" s="139">
        <v>17</v>
      </c>
      <c r="AC3" s="139">
        <v>18</v>
      </c>
      <c r="AD3" s="139">
        <v>19</v>
      </c>
      <c r="AE3" s="139">
        <v>20</v>
      </c>
      <c r="AF3" s="139">
        <v>21</v>
      </c>
      <c r="AG3" s="139">
        <v>22</v>
      </c>
      <c r="AH3" s="139">
        <v>23</v>
      </c>
      <c r="AI3" s="139">
        <v>24</v>
      </c>
    </row>
    <row r="4" spans="1:35" ht="12">
      <c r="A4" s="161">
        <v>1</v>
      </c>
      <c r="B4" s="162" t="s">
        <v>196</v>
      </c>
      <c r="C4" s="163"/>
      <c r="D4" s="164"/>
      <c r="E4" s="164"/>
      <c r="F4" s="164"/>
      <c r="G4" s="164"/>
      <c r="H4" s="164"/>
      <c r="I4" s="164"/>
      <c r="J4" s="164"/>
      <c r="K4" s="165"/>
      <c r="L4" s="458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60"/>
    </row>
    <row r="5" spans="1:35" ht="12">
      <c r="A5" s="166">
        <v>1.1</v>
      </c>
      <c r="B5" s="167" t="s">
        <v>197</v>
      </c>
      <c r="C5" s="168"/>
      <c r="D5" s="169"/>
      <c r="E5" s="169"/>
      <c r="F5" s="169"/>
      <c r="G5" s="169"/>
      <c r="H5" s="169"/>
      <c r="I5" s="169"/>
      <c r="J5" s="169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</row>
    <row r="6" spans="1:36" ht="12">
      <c r="A6" s="171" t="s">
        <v>198</v>
      </c>
      <c r="B6" s="172" t="s">
        <v>199</v>
      </c>
      <c r="C6" s="173" t="s">
        <v>200</v>
      </c>
      <c r="D6" s="401">
        <f>+'FLUJO DE CAJA ECON FINANCI'!C17+'FLUJO DE CAJA ECON FINANCI'!D17+'FLUJO DE CAJA ECON FINANCI'!E17</f>
        <v>8495.826342775475</v>
      </c>
      <c r="E6" s="401">
        <f>+'FLUJO DE CAJA ECON FINANCI'!F17+'FLUJO DE CAJA ECON FINANCI'!G17+'FLUJO DE CAJA ECON FINANCI'!H17</f>
        <v>15130.162342775478</v>
      </c>
      <c r="F6" s="401">
        <f>+'FLUJO DE CAJA ECON FINANCI'!I17+'FLUJO DE CAJA ECON FINANCI'!J17+'FLUJO DE CAJA ECON FINANCI'!K17</f>
        <v>10543.932342775483</v>
      </c>
      <c r="G6" s="401">
        <f>+'FLUJO DE CAJA ECON FINANCI'!L17+'FLUJO DE CAJA ECON FINANCI'!M17+'FLUJO DE CAJA ECON FINANCI'!N17</f>
        <v>18316.652342775484</v>
      </c>
      <c r="H6" s="401">
        <f>+'FLUJO DE CAJA ECON FINANCI'!O17+'FLUJO DE CAJA ECON FINANCI'!P17+'FLUJO DE CAJA ECON FINANCI'!Q17</f>
        <v>8604.644322015802</v>
      </c>
      <c r="I6" s="401">
        <f>+'ESTADO DE GANACIAS Y PERDIDAS'!Q17+'ESTADO DE GANACIAS Y PERDIDAS'!R17+'ESTADO DE GANACIAS Y PERDIDAS'!S17</f>
        <v>25433.35977003568</v>
      </c>
      <c r="J6" s="401">
        <f>+'FLUJO DE CAJA ECON FINANCI'!U17+'FLUJO DE CAJA ECON FINANCI'!V17+'FLUJO DE CAJA ECON FINANCI'!W17</f>
        <v>10557.286750361533</v>
      </c>
      <c r="K6" s="401">
        <f>+'FLUJO DE CAJA ECON FINANCI'!X17+'FLUJO DE CAJA ECON FINANCI'!Y17+'FLUJO DE CAJA ECON FINANCI'!Z17</f>
        <v>18330.252849902485</v>
      </c>
      <c r="L6" s="387">
        <f>+'FLUJO DE CAJA ECON FINANCI'!C17</f>
        <v>3101.411447591826</v>
      </c>
      <c r="M6" s="387">
        <f>+'FLUJO DE CAJA ECON FINANCI'!D17</f>
        <v>2866.1074475918226</v>
      </c>
      <c r="N6" s="387">
        <f>+'FLUJO DE CAJA ECON FINANCI'!E17</f>
        <v>2528.3074475918265</v>
      </c>
      <c r="O6" s="387">
        <f>+'FLUJO DE CAJA ECON FINANCI'!F17</f>
        <v>3925.5474475918245</v>
      </c>
      <c r="P6" s="387">
        <f>+'FLUJO DE CAJA ECON FINANCI'!G17</f>
        <v>5945.907447591826</v>
      </c>
      <c r="Q6" s="387">
        <f>+'FLUJO DE CAJA ECON FINANCI'!H17</f>
        <v>5258.707447591828</v>
      </c>
      <c r="R6" s="387">
        <f>+'FLUJO DE CAJA ECON FINANCI'!I17</f>
        <v>2849.5574475918265</v>
      </c>
      <c r="S6" s="387">
        <f>+'FLUJO DE CAJA ECON FINANCI'!J17</f>
        <v>4083.707447591828</v>
      </c>
      <c r="T6" s="387">
        <f>+'FLUJO DE CAJA ECON FINANCI'!K17</f>
        <v>3610.667447591827</v>
      </c>
      <c r="U6" s="387">
        <f>+'FLUJO DE CAJA ECON FINANCI'!L17</f>
        <v>5910.667447591827</v>
      </c>
      <c r="V6" s="387">
        <f>+'FLUJO DE CAJA ECON FINANCI'!M17</f>
        <v>7939.0674475918295</v>
      </c>
      <c r="W6" s="387">
        <f>+'FLUJO DE CAJA ECON FINANCI'!N17</f>
        <v>4466.917447591827</v>
      </c>
      <c r="X6" s="387">
        <f>+'FLUJO DE CAJA ECON FINANCI'!O17</f>
        <v>3167.9114475918263</v>
      </c>
      <c r="Y6" s="387">
        <f>+'FLUJO DE CAJA ECON FINANCI'!P17</f>
        <v>2904.1074475918226</v>
      </c>
      <c r="Z6" s="387">
        <f>+'FLUJO DE CAJA ECON FINANCI'!Q17</f>
        <v>2532.6254268321527</v>
      </c>
      <c r="AA6" s="387">
        <f>+'FLUJO DE CAJA ECON FINANCI'!R17</f>
        <v>3929.891789940623</v>
      </c>
      <c r="AB6" s="387">
        <f>+'FLUJO DE CAJA ECON FINANCI'!S17</f>
        <v>5950.278314007139</v>
      </c>
      <c r="AC6" s="387">
        <f>+'FLUJO DE CAJA ECON FINANCI'!T17</f>
        <v>5263.105000014418</v>
      </c>
      <c r="AD6" s="387">
        <f>+'FLUJO DE CAJA ECON FINANCI'!U17</f>
        <v>2853.9818489511704</v>
      </c>
      <c r="AE6" s="387">
        <f>+'FLUJO DE CAJA ECON FINANCI'!V17</f>
        <v>4088.158861812158</v>
      </c>
      <c r="AF6" s="387">
        <f>+'FLUJO DE CAJA ECON FINANCI'!W17</f>
        <v>3615.1460395982044</v>
      </c>
      <c r="AG6" s="387">
        <f>+'FLUJO DE CAJA ECON FINANCI'!X17</f>
        <v>5915.173383316249</v>
      </c>
      <c r="AH6" s="387">
        <f>+'FLUJO DE CAJA ECON FINANCI'!Y17</f>
        <v>7943.600893979378</v>
      </c>
      <c r="AI6" s="387">
        <f>+'FLUJO DE CAJA ECON FINANCI'!Z17</f>
        <v>4471.4785726068585</v>
      </c>
      <c r="AJ6" s="387"/>
    </row>
    <row r="7" spans="1:36" ht="12">
      <c r="A7" s="171"/>
      <c r="B7" s="172" t="s">
        <v>201</v>
      </c>
      <c r="C7" s="173" t="s">
        <v>202</v>
      </c>
      <c r="D7" s="401">
        <v>0</v>
      </c>
      <c r="E7" s="401">
        <v>0</v>
      </c>
      <c r="F7" s="401">
        <v>0</v>
      </c>
      <c r="G7" s="401">
        <v>0</v>
      </c>
      <c r="H7" s="401">
        <v>0</v>
      </c>
      <c r="I7" s="401">
        <v>0</v>
      </c>
      <c r="J7" s="401">
        <v>0</v>
      </c>
      <c r="K7" s="401">
        <v>0</v>
      </c>
      <c r="L7" s="387">
        <v>0</v>
      </c>
      <c r="M7" s="387">
        <f>+L7</f>
        <v>0</v>
      </c>
      <c r="N7" s="387">
        <f aca="true" t="shared" si="0" ref="N7:AI7">+M7</f>
        <v>0</v>
      </c>
      <c r="O7" s="387">
        <f t="shared" si="0"/>
        <v>0</v>
      </c>
      <c r="P7" s="387">
        <f t="shared" si="0"/>
        <v>0</v>
      </c>
      <c r="Q7" s="387">
        <f t="shared" si="0"/>
        <v>0</v>
      </c>
      <c r="R7" s="387">
        <f t="shared" si="0"/>
        <v>0</v>
      </c>
      <c r="S7" s="387">
        <f t="shared" si="0"/>
        <v>0</v>
      </c>
      <c r="T7" s="387">
        <f t="shared" si="0"/>
        <v>0</v>
      </c>
      <c r="U7" s="387">
        <f t="shared" si="0"/>
        <v>0</v>
      </c>
      <c r="V7" s="387">
        <f t="shared" si="0"/>
        <v>0</v>
      </c>
      <c r="W7" s="387">
        <f t="shared" si="0"/>
        <v>0</v>
      </c>
      <c r="X7" s="387">
        <f t="shared" si="0"/>
        <v>0</v>
      </c>
      <c r="Y7" s="387">
        <f t="shared" si="0"/>
        <v>0</v>
      </c>
      <c r="Z7" s="387">
        <f t="shared" si="0"/>
        <v>0</v>
      </c>
      <c r="AA7" s="387">
        <f t="shared" si="0"/>
        <v>0</v>
      </c>
      <c r="AB7" s="387">
        <f t="shared" si="0"/>
        <v>0</v>
      </c>
      <c r="AC7" s="387">
        <f t="shared" si="0"/>
        <v>0</v>
      </c>
      <c r="AD7" s="387">
        <f t="shared" si="0"/>
        <v>0</v>
      </c>
      <c r="AE7" s="387">
        <f t="shared" si="0"/>
        <v>0</v>
      </c>
      <c r="AF7" s="387">
        <f t="shared" si="0"/>
        <v>0</v>
      </c>
      <c r="AG7" s="387">
        <f t="shared" si="0"/>
        <v>0</v>
      </c>
      <c r="AH7" s="387">
        <f t="shared" si="0"/>
        <v>0</v>
      </c>
      <c r="AI7" s="387">
        <f t="shared" si="0"/>
        <v>0</v>
      </c>
      <c r="AJ7" s="387"/>
    </row>
    <row r="8" spans="1:36" ht="12">
      <c r="A8" s="171" t="s">
        <v>203</v>
      </c>
      <c r="B8" s="171" t="s">
        <v>204</v>
      </c>
      <c r="C8" s="174" t="s">
        <v>205</v>
      </c>
      <c r="D8" s="402">
        <f>+'PRESUPUESTO DE GASTOS'!B6+'PRESUPUESTO DE GASTOS'!C6+'PRESUPUESTO DE GASTOS'!D6</f>
        <v>67630.312</v>
      </c>
      <c r="E8" s="402">
        <f>+'PRESUPUESTO DE GASTOS'!E6+'PRESUPUESTO DE GASTOS'!F6+'PRESUPUESTO DE GASTOS'!G6</f>
        <v>87035.976</v>
      </c>
      <c r="F8" s="402">
        <f>+'PRESUPUESTO DE GASTOS'!H6+'PRESUPUESTO DE GASTOS'!I6+'PRESUPUESTO DE GASTOS'!J6</f>
        <v>79598.456</v>
      </c>
      <c r="G8" s="402">
        <f>+'PRESUPUESTO DE GASTOS'!K6+'PRESUPUESTO DE GASTOS'!L6+'PRESUPUESTO DE GASTOS'!M6</f>
        <v>96745.736</v>
      </c>
      <c r="H8" s="402">
        <f>+'PRESUPUESTO DE GASTOS'!N6+'PRESUPUESTO DE GASTOS'!O6+'PRESUPUESTO DE GASTOS'!P6</f>
        <v>67525.812</v>
      </c>
      <c r="I8" s="402">
        <f>+'PRESUPUESTO DE GASTOS'!Q6+'PRESUPUESTO DE GASTOS'!R6+'PRESUPUESTO DE GASTOS'!S6</f>
        <v>87035.976</v>
      </c>
      <c r="J8" s="402">
        <f>+'PRESUPUESTO DE GASTOS'!T6+'PRESUPUESTO DE GASTOS'!U6+'PRESUPUESTO DE GASTOS'!V6</f>
        <v>79598.456</v>
      </c>
      <c r="K8" s="402">
        <f>+'PRESUPUESTO DE GASTOS'!W6+'PRESUPUESTO DE GASTOS'!X6+'PRESUPUESTO DE GASTOS'!Y6</f>
        <v>96745.736</v>
      </c>
      <c r="L8" s="387">
        <f>+'PRESUPUESTO DE GASTOS'!B6</f>
        <v>22583.968</v>
      </c>
      <c r="M8" s="387">
        <f>+'PRESUPUESTO DE GASTOS'!C6</f>
        <v>22729.272</v>
      </c>
      <c r="N8" s="387">
        <f>+'PRESUPUESTO DE GASTOS'!D6</f>
        <v>22317.071999999996</v>
      </c>
      <c r="O8" s="387">
        <f>+'PRESUPUESTO DE GASTOS'!E6</f>
        <v>25509.832</v>
      </c>
      <c r="P8" s="387">
        <f>+'PRESUPUESTO DE GASTOS'!F6</f>
        <v>30939.472</v>
      </c>
      <c r="Q8" s="387">
        <f>+'PRESUPUESTO DE GASTOS'!G6</f>
        <v>30586.672</v>
      </c>
      <c r="R8" s="387">
        <f>+'PRESUPUESTO DE GASTOS'!H6</f>
        <v>32062.072</v>
      </c>
      <c r="S8" s="387">
        <f>+'PRESUPUESTO DE GASTOS'!I6</f>
        <v>23951.672</v>
      </c>
      <c r="T8" s="387">
        <f>+'PRESUPUESTO DE GASTOS'!J6</f>
        <v>23584.712</v>
      </c>
      <c r="U8" s="387">
        <f>+'PRESUPUESTO DE GASTOS'!K6</f>
        <v>29384.712</v>
      </c>
      <c r="V8" s="387">
        <f>+'PRESUPUESTO DE GASTOS'!L6</f>
        <v>33306.312</v>
      </c>
      <c r="W8" s="387">
        <f>+'PRESUPUESTO DE GASTOS'!M6</f>
        <v>34054.712</v>
      </c>
      <c r="X8" s="387">
        <f>+'PRESUPUESTO DE GASTOS'!N6</f>
        <v>22517.468</v>
      </c>
      <c r="Y8" s="387">
        <f>+'PRESUPUESTO DE GASTOS'!O6</f>
        <v>22691.272</v>
      </c>
      <c r="Z8" s="387">
        <f>+'PRESUPUESTO DE GASTOS'!P6</f>
        <v>22317.071999999996</v>
      </c>
      <c r="AA8" s="387">
        <f>+'PRESUPUESTO DE GASTOS'!Q6</f>
        <v>25509.832</v>
      </c>
      <c r="AB8" s="387">
        <f>+'PRESUPUESTO DE GASTOS'!R6</f>
        <v>30939.472</v>
      </c>
      <c r="AC8" s="387">
        <f>+'PRESUPUESTO DE GASTOS'!S6</f>
        <v>30586.672</v>
      </c>
      <c r="AD8" s="387">
        <f>+'PRESUPUESTO DE GASTOS'!T6</f>
        <v>32062.072</v>
      </c>
      <c r="AE8" s="387">
        <f>+'PRESUPUESTO DE GASTOS'!U6</f>
        <v>23951.672</v>
      </c>
      <c r="AF8" s="387">
        <f>+'PRESUPUESTO DE GASTOS'!V6</f>
        <v>23584.712</v>
      </c>
      <c r="AG8" s="387">
        <f>+'PRESUPUESTO DE GASTOS'!W6</f>
        <v>29384.712</v>
      </c>
      <c r="AH8" s="387">
        <f>+'PRESUPUESTO DE GASTOS'!X6</f>
        <v>33306.312</v>
      </c>
      <c r="AI8" s="387">
        <f>+'PRESUPUESTO DE GASTOS'!Y6</f>
        <v>34054.712</v>
      </c>
      <c r="AJ8" s="387"/>
    </row>
    <row r="9" spans="1:36" ht="12">
      <c r="A9" s="175">
        <v>1.1</v>
      </c>
      <c r="B9" s="176" t="s">
        <v>206</v>
      </c>
      <c r="C9" s="176"/>
      <c r="D9" s="391">
        <f aca="true" t="shared" si="1" ref="D9:K9">SUM(D6:D8)</f>
        <v>76126.13834277548</v>
      </c>
      <c r="E9" s="391">
        <f t="shared" si="1"/>
        <v>102166.13834277548</v>
      </c>
      <c r="F9" s="391">
        <f t="shared" si="1"/>
        <v>90142.38834277549</v>
      </c>
      <c r="G9" s="391">
        <f t="shared" si="1"/>
        <v>115062.38834277549</v>
      </c>
      <c r="H9" s="391">
        <f t="shared" si="1"/>
        <v>76130.4563220158</v>
      </c>
      <c r="I9" s="391">
        <f t="shared" si="1"/>
        <v>112469.33577003567</v>
      </c>
      <c r="J9" s="391">
        <f t="shared" si="1"/>
        <v>90155.74275036153</v>
      </c>
      <c r="K9" s="391">
        <f t="shared" si="1"/>
        <v>115075.9888499025</v>
      </c>
      <c r="L9" s="391">
        <f aca="true" t="shared" si="2" ref="L9:AI9">SUM(L6:L8)</f>
        <v>25685.379447591826</v>
      </c>
      <c r="M9" s="391">
        <f t="shared" si="2"/>
        <v>25595.379447591822</v>
      </c>
      <c r="N9" s="391">
        <f t="shared" si="2"/>
        <v>24845.379447591822</v>
      </c>
      <c r="O9" s="391">
        <f t="shared" si="2"/>
        <v>29435.379447591822</v>
      </c>
      <c r="P9" s="391">
        <f t="shared" si="2"/>
        <v>36885.379447591826</v>
      </c>
      <c r="Q9" s="391">
        <f t="shared" si="2"/>
        <v>35845.379447591826</v>
      </c>
      <c r="R9" s="391">
        <f t="shared" si="2"/>
        <v>34911.629447591826</v>
      </c>
      <c r="S9" s="391">
        <f t="shared" si="2"/>
        <v>28035.379447591826</v>
      </c>
      <c r="T9" s="391">
        <f t="shared" si="2"/>
        <v>27195.379447591826</v>
      </c>
      <c r="U9" s="391">
        <f t="shared" si="2"/>
        <v>35295.379447591826</v>
      </c>
      <c r="V9" s="391">
        <f t="shared" si="2"/>
        <v>41245.379447591826</v>
      </c>
      <c r="W9" s="391">
        <f t="shared" si="2"/>
        <v>38521.629447591826</v>
      </c>
      <c r="X9" s="391">
        <f t="shared" si="2"/>
        <v>25685.379447591826</v>
      </c>
      <c r="Y9" s="391">
        <f t="shared" si="2"/>
        <v>25595.379447591822</v>
      </c>
      <c r="Z9" s="391">
        <f t="shared" si="2"/>
        <v>24849.69742683215</v>
      </c>
      <c r="AA9" s="391">
        <f t="shared" si="2"/>
        <v>29439.72378994062</v>
      </c>
      <c r="AB9" s="391">
        <f t="shared" si="2"/>
        <v>36889.75031400714</v>
      </c>
      <c r="AC9" s="391">
        <f t="shared" si="2"/>
        <v>35849.777000014416</v>
      </c>
      <c r="AD9" s="391">
        <f t="shared" si="2"/>
        <v>34916.05384895117</v>
      </c>
      <c r="AE9" s="391">
        <f t="shared" si="2"/>
        <v>28039.830861812155</v>
      </c>
      <c r="AF9" s="391">
        <f t="shared" si="2"/>
        <v>27199.858039598203</v>
      </c>
      <c r="AG9" s="391">
        <f t="shared" si="2"/>
        <v>35299.88538331625</v>
      </c>
      <c r="AH9" s="391">
        <f t="shared" si="2"/>
        <v>41249.91289397937</v>
      </c>
      <c r="AI9" s="391">
        <f t="shared" si="2"/>
        <v>38526.19057260686</v>
      </c>
      <c r="AJ9" s="387"/>
    </row>
    <row r="10" spans="1:36" ht="12">
      <c r="A10" s="177" t="s">
        <v>207</v>
      </c>
      <c r="B10" s="167" t="s">
        <v>208</v>
      </c>
      <c r="C10" s="168"/>
      <c r="D10" s="403"/>
      <c r="E10" s="403"/>
      <c r="F10" s="403"/>
      <c r="G10" s="403"/>
      <c r="H10" s="404"/>
      <c r="I10" s="404"/>
      <c r="J10" s="404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87"/>
    </row>
    <row r="11" spans="1:36" ht="12">
      <c r="A11" s="171" t="s">
        <v>209</v>
      </c>
      <c r="B11" s="171" t="s">
        <v>210</v>
      </c>
      <c r="C11" s="174" t="s">
        <v>211</v>
      </c>
      <c r="D11" s="402">
        <f>+'INVERSION TOTAL'!E35</f>
        <v>37970</v>
      </c>
      <c r="E11" s="402">
        <f>D11</f>
        <v>37970</v>
      </c>
      <c r="F11" s="402">
        <f aca="true" t="shared" si="3" ref="F11:K13">E11</f>
        <v>37970</v>
      </c>
      <c r="G11" s="402">
        <f t="shared" si="3"/>
        <v>37970</v>
      </c>
      <c r="H11" s="402">
        <f t="shared" si="3"/>
        <v>37970</v>
      </c>
      <c r="I11" s="402">
        <f t="shared" si="3"/>
        <v>37970</v>
      </c>
      <c r="J11" s="402">
        <f t="shared" si="3"/>
        <v>37970</v>
      </c>
      <c r="K11" s="402">
        <f t="shared" si="3"/>
        <v>37970</v>
      </c>
      <c r="L11" s="387">
        <f>+'INVERSION TOTAL'!E35</f>
        <v>37970</v>
      </c>
      <c r="M11" s="387">
        <f>+L11</f>
        <v>37970</v>
      </c>
      <c r="N11" s="387">
        <f aca="true" t="shared" si="4" ref="N11:AI11">+M11</f>
        <v>37970</v>
      </c>
      <c r="O11" s="387">
        <f t="shared" si="4"/>
        <v>37970</v>
      </c>
      <c r="P11" s="387">
        <f t="shared" si="4"/>
        <v>37970</v>
      </c>
      <c r="Q11" s="387">
        <f t="shared" si="4"/>
        <v>37970</v>
      </c>
      <c r="R11" s="387">
        <f t="shared" si="4"/>
        <v>37970</v>
      </c>
      <c r="S11" s="387">
        <f t="shared" si="4"/>
        <v>37970</v>
      </c>
      <c r="T11" s="387">
        <f t="shared" si="4"/>
        <v>37970</v>
      </c>
      <c r="U11" s="387">
        <f t="shared" si="4"/>
        <v>37970</v>
      </c>
      <c r="V11" s="387">
        <f t="shared" si="4"/>
        <v>37970</v>
      </c>
      <c r="W11" s="387">
        <f t="shared" si="4"/>
        <v>37970</v>
      </c>
      <c r="X11" s="387">
        <f t="shared" si="4"/>
        <v>37970</v>
      </c>
      <c r="Y11" s="387">
        <f t="shared" si="4"/>
        <v>37970</v>
      </c>
      <c r="Z11" s="387">
        <f t="shared" si="4"/>
        <v>37970</v>
      </c>
      <c r="AA11" s="387">
        <f t="shared" si="4"/>
        <v>37970</v>
      </c>
      <c r="AB11" s="387">
        <f t="shared" si="4"/>
        <v>37970</v>
      </c>
      <c r="AC11" s="387">
        <f t="shared" si="4"/>
        <v>37970</v>
      </c>
      <c r="AD11" s="387">
        <f t="shared" si="4"/>
        <v>37970</v>
      </c>
      <c r="AE11" s="387">
        <f t="shared" si="4"/>
        <v>37970</v>
      </c>
      <c r="AF11" s="387">
        <f t="shared" si="4"/>
        <v>37970</v>
      </c>
      <c r="AG11" s="387">
        <f t="shared" si="4"/>
        <v>37970</v>
      </c>
      <c r="AH11" s="387">
        <f t="shared" si="4"/>
        <v>37970</v>
      </c>
      <c r="AI11" s="387">
        <f t="shared" si="4"/>
        <v>37970</v>
      </c>
      <c r="AJ11" s="387"/>
    </row>
    <row r="12" spans="1:36" ht="12">
      <c r="A12" s="171" t="s">
        <v>212</v>
      </c>
      <c r="B12" s="171" t="s">
        <v>213</v>
      </c>
      <c r="C12" s="174" t="s">
        <v>214</v>
      </c>
      <c r="D12" s="402">
        <f>+'INVERSION TOTAL'!E43</f>
        <v>1580</v>
      </c>
      <c r="E12" s="402">
        <f>D12</f>
        <v>1580</v>
      </c>
      <c r="F12" s="402">
        <f t="shared" si="3"/>
        <v>1580</v>
      </c>
      <c r="G12" s="402">
        <f t="shared" si="3"/>
        <v>1580</v>
      </c>
      <c r="H12" s="402">
        <f t="shared" si="3"/>
        <v>1580</v>
      </c>
      <c r="I12" s="402">
        <f t="shared" si="3"/>
        <v>1580</v>
      </c>
      <c r="J12" s="402">
        <f t="shared" si="3"/>
        <v>1580</v>
      </c>
      <c r="K12" s="402">
        <f t="shared" si="3"/>
        <v>1580</v>
      </c>
      <c r="L12" s="387">
        <f>+'INVERSION TOTAL'!E43</f>
        <v>1580</v>
      </c>
      <c r="M12" s="387">
        <f>+L12</f>
        <v>1580</v>
      </c>
      <c r="N12" s="387">
        <f aca="true" t="shared" si="5" ref="N12:AI12">+M12</f>
        <v>1580</v>
      </c>
      <c r="O12" s="387">
        <f t="shared" si="5"/>
        <v>1580</v>
      </c>
      <c r="P12" s="387">
        <f t="shared" si="5"/>
        <v>1580</v>
      </c>
      <c r="Q12" s="387">
        <f t="shared" si="5"/>
        <v>1580</v>
      </c>
      <c r="R12" s="387">
        <f t="shared" si="5"/>
        <v>1580</v>
      </c>
      <c r="S12" s="387">
        <f t="shared" si="5"/>
        <v>1580</v>
      </c>
      <c r="T12" s="387">
        <f t="shared" si="5"/>
        <v>1580</v>
      </c>
      <c r="U12" s="387">
        <f t="shared" si="5"/>
        <v>1580</v>
      </c>
      <c r="V12" s="387">
        <f t="shared" si="5"/>
        <v>1580</v>
      </c>
      <c r="W12" s="387">
        <f t="shared" si="5"/>
        <v>1580</v>
      </c>
      <c r="X12" s="387">
        <f t="shared" si="5"/>
        <v>1580</v>
      </c>
      <c r="Y12" s="387">
        <f t="shared" si="5"/>
        <v>1580</v>
      </c>
      <c r="Z12" s="387">
        <f t="shared" si="5"/>
        <v>1580</v>
      </c>
      <c r="AA12" s="387">
        <f t="shared" si="5"/>
        <v>1580</v>
      </c>
      <c r="AB12" s="387">
        <f t="shared" si="5"/>
        <v>1580</v>
      </c>
      <c r="AC12" s="387">
        <f t="shared" si="5"/>
        <v>1580</v>
      </c>
      <c r="AD12" s="387">
        <f t="shared" si="5"/>
        <v>1580</v>
      </c>
      <c r="AE12" s="387">
        <f t="shared" si="5"/>
        <v>1580</v>
      </c>
      <c r="AF12" s="387">
        <f t="shared" si="5"/>
        <v>1580</v>
      </c>
      <c r="AG12" s="387">
        <f t="shared" si="5"/>
        <v>1580</v>
      </c>
      <c r="AH12" s="387">
        <f t="shared" si="5"/>
        <v>1580</v>
      </c>
      <c r="AI12" s="387">
        <f t="shared" si="5"/>
        <v>1580</v>
      </c>
      <c r="AJ12" s="387"/>
    </row>
    <row r="13" spans="1:36" ht="12">
      <c r="A13" s="171" t="s">
        <v>215</v>
      </c>
      <c r="B13" s="171" t="s">
        <v>216</v>
      </c>
      <c r="C13" s="174" t="s">
        <v>217</v>
      </c>
      <c r="D13" s="402">
        <f>+DEPRECIACION!H31</f>
        <v>82.95486111111111</v>
      </c>
      <c r="E13" s="402">
        <f>D13</f>
        <v>82.95486111111111</v>
      </c>
      <c r="F13" s="402">
        <f t="shared" si="3"/>
        <v>82.95486111111111</v>
      </c>
      <c r="G13" s="402">
        <f t="shared" si="3"/>
        <v>82.95486111111111</v>
      </c>
      <c r="H13" s="402">
        <f t="shared" si="3"/>
        <v>82.95486111111111</v>
      </c>
      <c r="I13" s="402">
        <f t="shared" si="3"/>
        <v>82.95486111111111</v>
      </c>
      <c r="J13" s="402">
        <f t="shared" si="3"/>
        <v>82.95486111111111</v>
      </c>
      <c r="K13" s="402">
        <f t="shared" si="3"/>
        <v>82.95486111111111</v>
      </c>
      <c r="L13" s="387">
        <f>+DEPRECIACION!H31</f>
        <v>82.95486111111111</v>
      </c>
      <c r="M13" s="387">
        <f>+L13</f>
        <v>82.95486111111111</v>
      </c>
      <c r="N13" s="387">
        <f aca="true" t="shared" si="6" ref="N13:AI13">+M13</f>
        <v>82.95486111111111</v>
      </c>
      <c r="O13" s="387">
        <f t="shared" si="6"/>
        <v>82.95486111111111</v>
      </c>
      <c r="P13" s="387">
        <f t="shared" si="6"/>
        <v>82.95486111111111</v>
      </c>
      <c r="Q13" s="387">
        <f t="shared" si="6"/>
        <v>82.95486111111111</v>
      </c>
      <c r="R13" s="387">
        <f t="shared" si="6"/>
        <v>82.95486111111111</v>
      </c>
      <c r="S13" s="387">
        <f t="shared" si="6"/>
        <v>82.95486111111111</v>
      </c>
      <c r="T13" s="387">
        <f t="shared" si="6"/>
        <v>82.95486111111111</v>
      </c>
      <c r="U13" s="387">
        <f t="shared" si="6"/>
        <v>82.95486111111111</v>
      </c>
      <c r="V13" s="387">
        <f t="shared" si="6"/>
        <v>82.95486111111111</v>
      </c>
      <c r="W13" s="387">
        <f t="shared" si="6"/>
        <v>82.95486111111111</v>
      </c>
      <c r="X13" s="387">
        <f t="shared" si="6"/>
        <v>82.95486111111111</v>
      </c>
      <c r="Y13" s="387">
        <f t="shared" si="6"/>
        <v>82.95486111111111</v>
      </c>
      <c r="Z13" s="387">
        <f t="shared" si="6"/>
        <v>82.95486111111111</v>
      </c>
      <c r="AA13" s="387">
        <f t="shared" si="6"/>
        <v>82.95486111111111</v>
      </c>
      <c r="AB13" s="387">
        <f t="shared" si="6"/>
        <v>82.95486111111111</v>
      </c>
      <c r="AC13" s="387">
        <f t="shared" si="6"/>
        <v>82.95486111111111</v>
      </c>
      <c r="AD13" s="387">
        <f t="shared" si="6"/>
        <v>82.95486111111111</v>
      </c>
      <c r="AE13" s="387">
        <f t="shared" si="6"/>
        <v>82.95486111111111</v>
      </c>
      <c r="AF13" s="387">
        <f t="shared" si="6"/>
        <v>82.95486111111111</v>
      </c>
      <c r="AG13" s="387">
        <f t="shared" si="6"/>
        <v>82.95486111111111</v>
      </c>
      <c r="AH13" s="387">
        <f t="shared" si="6"/>
        <v>82.95486111111111</v>
      </c>
      <c r="AI13" s="387">
        <f t="shared" si="6"/>
        <v>82.95486111111111</v>
      </c>
      <c r="AJ13" s="387"/>
    </row>
    <row r="14" spans="1:36" ht="12">
      <c r="A14" s="175">
        <v>1.2</v>
      </c>
      <c r="B14" s="178" t="s">
        <v>218</v>
      </c>
      <c r="C14" s="178"/>
      <c r="D14" s="393">
        <f>(SUM(D11:D12))-D13</f>
        <v>39467.04513888889</v>
      </c>
      <c r="E14" s="393">
        <f aca="true" t="shared" si="7" ref="E14:K14">(SUM(E11:E12))-E13</f>
        <v>39467.04513888889</v>
      </c>
      <c r="F14" s="393">
        <f t="shared" si="7"/>
        <v>39467.04513888889</v>
      </c>
      <c r="G14" s="393">
        <f t="shared" si="7"/>
        <v>39467.04513888889</v>
      </c>
      <c r="H14" s="393">
        <f t="shared" si="7"/>
        <v>39467.04513888889</v>
      </c>
      <c r="I14" s="393">
        <f t="shared" si="7"/>
        <v>39467.04513888889</v>
      </c>
      <c r="J14" s="393">
        <f t="shared" si="7"/>
        <v>39467.04513888889</v>
      </c>
      <c r="K14" s="393">
        <f t="shared" si="7"/>
        <v>39467.04513888889</v>
      </c>
      <c r="L14" s="393">
        <f aca="true" t="shared" si="8" ref="L14:AI14">(SUM(L11:L12))-L13</f>
        <v>39467.04513888889</v>
      </c>
      <c r="M14" s="393">
        <f t="shared" si="8"/>
        <v>39467.04513888889</v>
      </c>
      <c r="N14" s="393">
        <f t="shared" si="8"/>
        <v>39467.04513888889</v>
      </c>
      <c r="O14" s="393">
        <f t="shared" si="8"/>
        <v>39467.04513888889</v>
      </c>
      <c r="P14" s="393">
        <f t="shared" si="8"/>
        <v>39467.04513888889</v>
      </c>
      <c r="Q14" s="393">
        <f t="shared" si="8"/>
        <v>39467.04513888889</v>
      </c>
      <c r="R14" s="393">
        <f t="shared" si="8"/>
        <v>39467.04513888889</v>
      </c>
      <c r="S14" s="393">
        <f t="shared" si="8"/>
        <v>39467.04513888889</v>
      </c>
      <c r="T14" s="393">
        <f t="shared" si="8"/>
        <v>39467.04513888889</v>
      </c>
      <c r="U14" s="393">
        <f t="shared" si="8"/>
        <v>39467.04513888889</v>
      </c>
      <c r="V14" s="393">
        <f t="shared" si="8"/>
        <v>39467.04513888889</v>
      </c>
      <c r="W14" s="393">
        <f t="shared" si="8"/>
        <v>39467.04513888889</v>
      </c>
      <c r="X14" s="393">
        <f t="shared" si="8"/>
        <v>39467.04513888889</v>
      </c>
      <c r="Y14" s="393">
        <f t="shared" si="8"/>
        <v>39467.04513888889</v>
      </c>
      <c r="Z14" s="393">
        <f t="shared" si="8"/>
        <v>39467.04513888889</v>
      </c>
      <c r="AA14" s="393">
        <f t="shared" si="8"/>
        <v>39467.04513888889</v>
      </c>
      <c r="AB14" s="393">
        <f t="shared" si="8"/>
        <v>39467.04513888889</v>
      </c>
      <c r="AC14" s="393">
        <f t="shared" si="8"/>
        <v>39467.04513888889</v>
      </c>
      <c r="AD14" s="393">
        <f t="shared" si="8"/>
        <v>39467.04513888889</v>
      </c>
      <c r="AE14" s="393">
        <f t="shared" si="8"/>
        <v>39467.04513888889</v>
      </c>
      <c r="AF14" s="393">
        <f t="shared" si="8"/>
        <v>39467.04513888889</v>
      </c>
      <c r="AG14" s="393">
        <f t="shared" si="8"/>
        <v>39467.04513888889</v>
      </c>
      <c r="AH14" s="393">
        <f t="shared" si="8"/>
        <v>39467.04513888889</v>
      </c>
      <c r="AI14" s="393">
        <f t="shared" si="8"/>
        <v>39467.04513888889</v>
      </c>
      <c r="AJ14" s="387"/>
    </row>
    <row r="15" spans="1:36" ht="12">
      <c r="A15" s="411">
        <v>1</v>
      </c>
      <c r="B15" s="412" t="s">
        <v>219</v>
      </c>
      <c r="C15" s="412"/>
      <c r="D15" s="413">
        <f aca="true" t="shared" si="9" ref="D15:K15">D14+D9</f>
        <v>115593.18348166437</v>
      </c>
      <c r="E15" s="413">
        <f t="shared" si="9"/>
        <v>141633.18348166437</v>
      </c>
      <c r="F15" s="413">
        <f t="shared" si="9"/>
        <v>129609.43348166438</v>
      </c>
      <c r="G15" s="413">
        <f t="shared" si="9"/>
        <v>154529.4334816644</v>
      </c>
      <c r="H15" s="413">
        <f t="shared" si="9"/>
        <v>115597.50146090469</v>
      </c>
      <c r="I15" s="413">
        <f t="shared" si="9"/>
        <v>151936.38090892456</v>
      </c>
      <c r="J15" s="413">
        <f t="shared" si="9"/>
        <v>129622.78788925042</v>
      </c>
      <c r="K15" s="413">
        <f t="shared" si="9"/>
        <v>154543.0339887914</v>
      </c>
      <c r="L15" s="394">
        <f aca="true" t="shared" si="10" ref="L15:AI15">L14+L9</f>
        <v>65152.424586480716</v>
      </c>
      <c r="M15" s="394">
        <f t="shared" si="10"/>
        <v>65062.424586480716</v>
      </c>
      <c r="N15" s="394">
        <f t="shared" si="10"/>
        <v>64312.424586480716</v>
      </c>
      <c r="O15" s="394">
        <f t="shared" si="10"/>
        <v>68902.42458648072</v>
      </c>
      <c r="P15" s="394">
        <f t="shared" si="10"/>
        <v>76352.42458648072</v>
      </c>
      <c r="Q15" s="394">
        <f t="shared" si="10"/>
        <v>75312.42458648072</v>
      </c>
      <c r="R15" s="394">
        <f t="shared" si="10"/>
        <v>74378.67458648072</v>
      </c>
      <c r="S15" s="394">
        <f t="shared" si="10"/>
        <v>67502.42458648072</v>
      </c>
      <c r="T15" s="394">
        <f t="shared" si="10"/>
        <v>66662.42458648072</v>
      </c>
      <c r="U15" s="394">
        <f t="shared" si="10"/>
        <v>74762.42458648072</v>
      </c>
      <c r="V15" s="394">
        <f t="shared" si="10"/>
        <v>80712.42458648072</v>
      </c>
      <c r="W15" s="394">
        <f t="shared" si="10"/>
        <v>77988.67458648072</v>
      </c>
      <c r="X15" s="394">
        <f t="shared" si="10"/>
        <v>65152.424586480716</v>
      </c>
      <c r="Y15" s="394">
        <f t="shared" si="10"/>
        <v>65062.424586480716</v>
      </c>
      <c r="Z15" s="394">
        <f t="shared" si="10"/>
        <v>64316.74256572104</v>
      </c>
      <c r="AA15" s="394">
        <f t="shared" si="10"/>
        <v>68906.76892882951</v>
      </c>
      <c r="AB15" s="394">
        <f t="shared" si="10"/>
        <v>76356.79545289604</v>
      </c>
      <c r="AC15" s="394">
        <f t="shared" si="10"/>
        <v>75316.82213890331</v>
      </c>
      <c r="AD15" s="394">
        <f t="shared" si="10"/>
        <v>74383.09898784006</v>
      </c>
      <c r="AE15" s="394">
        <f t="shared" si="10"/>
        <v>67506.87600070104</v>
      </c>
      <c r="AF15" s="394">
        <f t="shared" si="10"/>
        <v>66666.90317848709</v>
      </c>
      <c r="AG15" s="394">
        <f t="shared" si="10"/>
        <v>74766.93052220513</v>
      </c>
      <c r="AH15" s="394">
        <f t="shared" si="10"/>
        <v>80716.95803286826</v>
      </c>
      <c r="AI15" s="394">
        <f t="shared" si="10"/>
        <v>77993.23571149574</v>
      </c>
      <c r="AJ15" s="387"/>
    </row>
    <row r="16" spans="1:36" ht="12">
      <c r="A16" s="161">
        <v>2</v>
      </c>
      <c r="B16" s="162" t="s">
        <v>220</v>
      </c>
      <c r="C16" s="163"/>
      <c r="D16" s="405"/>
      <c r="E16" s="405"/>
      <c r="F16" s="405"/>
      <c r="G16" s="405"/>
      <c r="H16" s="405"/>
      <c r="I16" s="405"/>
      <c r="J16" s="405"/>
      <c r="K16" s="406"/>
      <c r="L16" s="455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7"/>
      <c r="AJ16" s="387"/>
    </row>
    <row r="17" spans="1:36" ht="12">
      <c r="A17" s="166">
        <v>2.1</v>
      </c>
      <c r="B17" s="167" t="s">
        <v>221</v>
      </c>
      <c r="C17" s="168"/>
      <c r="D17" s="404"/>
      <c r="E17" s="404"/>
      <c r="F17" s="404"/>
      <c r="G17" s="404"/>
      <c r="H17" s="404"/>
      <c r="I17" s="404"/>
      <c r="J17" s="404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87"/>
    </row>
    <row r="18" spans="1:36" ht="12">
      <c r="A18" s="171" t="s">
        <v>222</v>
      </c>
      <c r="B18" s="172" t="s">
        <v>223</v>
      </c>
      <c r="C18" s="173" t="s">
        <v>224</v>
      </c>
      <c r="D18" s="401">
        <f>'[1]ESTADO DE GANACIAS Y PERDIDAS'!B16+'[1]ESTADO DE GANACIAS Y PERDIDAS'!C16+'[1]ESTADO DE GANACIAS Y PERDIDAS'!D16</f>
        <v>453.1290009064668</v>
      </c>
      <c r="E18" s="401">
        <f>'[1]ESTADO DE GANACIAS Y PERDIDAS'!E16+'[1]ESTADO DE GANACIAS Y PERDIDAS'!F16+'[1]ESTADO DE GANACIAS Y PERDIDAS'!G16</f>
        <v>618.8569233013027</v>
      </c>
      <c r="F18" s="401">
        <f>'[1]ESTADO DE GANACIAS Y PERDIDAS'!H16+'[1]ESTADO DE GANACIAS Y PERDIDAS'!I16+'[1]ESTADO DE GANACIAS Y PERDIDAS'!J16</f>
        <v>538.4811905577366</v>
      </c>
      <c r="G18" s="401">
        <f>'[1]ESTADO DE GANACIAS Y PERDIDAS'!K16+'[1]ESTADO DE GANACIAS Y PERDIDAS'!L16+'[1]ESTADO DE GANACIAS Y PERDIDAS'!M16</f>
        <v>735.5525112557432</v>
      </c>
      <c r="H18" s="401">
        <f>'[1]ESTADO DE GANACIAS Y PERDIDAS'!N16+'[1]ESTADO DE GANACIAS Y PERDIDAS'!O16+'[1]ESTADO DE GANACIAS Y PERDIDAS'!P16</f>
        <v>456.8652996619131</v>
      </c>
      <c r="I18" s="401">
        <f>'[1]ESTADO DE GANACIAS Y PERDIDAS'!Q16+'[1]ESTADO DE GANACIAS Y PERDIDAS'!R16+'[1]ESTADO DE GANACIAS Y PERDIDAS'!S16</f>
        <v>622.6620758342483</v>
      </c>
      <c r="J18" s="401">
        <f>'[1]ESTADO DE GANACIAS Y PERDIDAS'!T16+'[1]ESTADO DE GANACIAS Y PERDIDAS'!U16+'[1]ESTADO DE GANACIAS Y PERDIDAS'!V16</f>
        <v>542.3564657288874</v>
      </c>
      <c r="K18" s="401">
        <f>'[1]ESTADO DE GANACIAS Y PERDIDAS'!W16+'[1]ESTADO DE GANACIAS Y PERDIDAS'!X16+'[1]ESTADO DE GANACIAS Y PERDIDAS'!Y16</f>
        <v>739.4992013087993</v>
      </c>
      <c r="L18" s="387">
        <f>+'ESTADO DE GANACIAS Y PERDIDAS'!B16</f>
        <v>167.1585369732526</v>
      </c>
      <c r="M18" s="387">
        <f>+'ESTADO DE GANACIAS Y PERDIDAS'!C16</f>
        <v>161.37567371257305</v>
      </c>
      <c r="N18" s="387">
        <f>+'ESTADO DE GANACIAS Y PERDIDAS'!D16</f>
        <v>153.03101938730785</v>
      </c>
      <c r="O18" s="387">
        <f>+'ESTADO DE GANACIAS Y PERDIDAS'!E16</f>
        <v>188.06297771526766</v>
      </c>
      <c r="P18" s="387">
        <f>+'ESTADO DE GANACIAS Y PERDIDAS'!F16</f>
        <v>238.67355243696235</v>
      </c>
      <c r="Q18" s="387">
        <f>+'ESTADO DE GANACIAS Y PERDIDAS'!G16</f>
        <v>221.59574731573926</v>
      </c>
      <c r="R18" s="387">
        <f>+'ESTADO DE GANACIAS Y PERDIDAS'!H16</f>
        <v>193.4885661379221</v>
      </c>
      <c r="S18" s="387">
        <f>+'ESTADO DE GANACIAS Y PERDIDAS'!I16</f>
        <v>192.4270127129522</v>
      </c>
      <c r="T18" s="387">
        <f>+'ESTADO DE GANACIAS Y PERDIDAS'!J16</f>
        <v>180.70509087352886</v>
      </c>
      <c r="U18" s="387">
        <f>+'ESTADO DE GANACIAS Y PERDIDAS'!K16</f>
        <v>238.30980447575178</v>
      </c>
      <c r="V18" s="387">
        <f>+'ESTADO DE GANACIAS Y PERDIDAS'!L16</f>
        <v>289.12515739926374</v>
      </c>
      <c r="W18" s="387">
        <f>+'ESTADO DE GANACIAS Y PERDIDAS'!M16</f>
        <v>234.44615354739432</v>
      </c>
      <c r="X18" s="387">
        <f>+'ESTADO DE GANACIAS Y PERDIDAS'!N16</f>
        <v>170.05889684730482</v>
      </c>
      <c r="Y18" s="387">
        <f>+'ESTADO DE GANACIAS Y PERDIDAS'!O16</f>
        <v>163.57109125013335</v>
      </c>
      <c r="Z18" s="387">
        <f>+'ESTADO DE GANACIAS Y PERDIDAS'!P16</f>
        <v>154.28404073114163</v>
      </c>
      <c r="AA18" s="387">
        <f>+'ESTADO DE GANACIAS Y PERDIDAS'!Q16</f>
        <v>189.32364928986152</v>
      </c>
      <c r="AB18" s="387">
        <f>+'ESTADO DE GANACIAS Y PERDIDAS'!R16</f>
        <v>239.94192095024428</v>
      </c>
      <c r="AC18" s="387">
        <f>+'ESTADO DE GANACIAS Y PERDIDAS'!S16</f>
        <v>222.87185976080912</v>
      </c>
      <c r="AD18" s="387">
        <f>+'ESTADO DE GANACIAS Y PERDIDAS'!T16</f>
        <v>194.77246979479267</v>
      </c>
      <c r="AE18" s="387">
        <f>+'ESTADO DE GANACIAS Y PERDIDAS'!U16</f>
        <v>193.71875515030098</v>
      </c>
      <c r="AF18" s="387">
        <f>+'ESTADO DE GANACIAS Y PERDIDAS'!V16</f>
        <v>182.00471995046038</v>
      </c>
      <c r="AG18" s="387">
        <f>+'ESTADO DE GANACIAS Y PERDIDAS'!W16</f>
        <v>239.6173683435709</v>
      </c>
      <c r="AH18" s="387">
        <f>+'ESTADO DE GANACIAS Y PERDIDAS'!X16</f>
        <v>290.44070450325967</v>
      </c>
      <c r="AI18" s="387">
        <f>+'ESTADO DE GANACIAS Y PERDIDAS'!Y16</f>
        <v>235.7697326286354</v>
      </c>
      <c r="AJ18" s="387"/>
    </row>
    <row r="19" spans="1:36" ht="12">
      <c r="A19" s="171" t="s">
        <v>225</v>
      </c>
      <c r="B19" s="171" t="s">
        <v>226</v>
      </c>
      <c r="C19" s="181" t="s">
        <v>227</v>
      </c>
      <c r="D19" s="402">
        <v>0</v>
      </c>
      <c r="E19" s="402">
        <v>0</v>
      </c>
      <c r="F19" s="402">
        <v>0</v>
      </c>
      <c r="G19" s="398">
        <v>0</v>
      </c>
      <c r="H19" s="398">
        <v>0</v>
      </c>
      <c r="I19" s="398">
        <v>0</v>
      </c>
      <c r="J19" s="398">
        <v>0</v>
      </c>
      <c r="K19" s="398">
        <v>0</v>
      </c>
      <c r="L19" s="387">
        <v>0</v>
      </c>
      <c r="M19" s="387">
        <f>+L19</f>
        <v>0</v>
      </c>
      <c r="N19" s="387">
        <f aca="true" t="shared" si="11" ref="N19:AI19">+M19</f>
        <v>0</v>
      </c>
      <c r="O19" s="387">
        <f t="shared" si="11"/>
        <v>0</v>
      </c>
      <c r="P19" s="387">
        <f t="shared" si="11"/>
        <v>0</v>
      </c>
      <c r="Q19" s="387">
        <f t="shared" si="11"/>
        <v>0</v>
      </c>
      <c r="R19" s="387">
        <f t="shared" si="11"/>
        <v>0</v>
      </c>
      <c r="S19" s="387">
        <f t="shared" si="11"/>
        <v>0</v>
      </c>
      <c r="T19" s="387">
        <f t="shared" si="11"/>
        <v>0</v>
      </c>
      <c r="U19" s="387">
        <f t="shared" si="11"/>
        <v>0</v>
      </c>
      <c r="V19" s="387">
        <f t="shared" si="11"/>
        <v>0</v>
      </c>
      <c r="W19" s="387">
        <f t="shared" si="11"/>
        <v>0</v>
      </c>
      <c r="X19" s="387">
        <f t="shared" si="11"/>
        <v>0</v>
      </c>
      <c r="Y19" s="387">
        <f t="shared" si="11"/>
        <v>0</v>
      </c>
      <c r="Z19" s="387">
        <f t="shared" si="11"/>
        <v>0</v>
      </c>
      <c r="AA19" s="387">
        <f t="shared" si="11"/>
        <v>0</v>
      </c>
      <c r="AB19" s="387">
        <f t="shared" si="11"/>
        <v>0</v>
      </c>
      <c r="AC19" s="387">
        <f t="shared" si="11"/>
        <v>0</v>
      </c>
      <c r="AD19" s="387">
        <f t="shared" si="11"/>
        <v>0</v>
      </c>
      <c r="AE19" s="387">
        <f t="shared" si="11"/>
        <v>0</v>
      </c>
      <c r="AF19" s="387">
        <f t="shared" si="11"/>
        <v>0</v>
      </c>
      <c r="AG19" s="387">
        <f t="shared" si="11"/>
        <v>0</v>
      </c>
      <c r="AH19" s="387">
        <f t="shared" si="11"/>
        <v>0</v>
      </c>
      <c r="AI19" s="387">
        <f t="shared" si="11"/>
        <v>0</v>
      </c>
      <c r="AJ19" s="387"/>
    </row>
    <row r="20" spans="1:36" ht="12">
      <c r="A20" s="171" t="s">
        <v>228</v>
      </c>
      <c r="B20" s="171" t="s">
        <v>229</v>
      </c>
      <c r="C20" s="181" t="s">
        <v>230</v>
      </c>
      <c r="D20" s="402">
        <f>+'AMORTIZACION DE CREDITO'!F16+'AMORTIZACION DE CREDITO'!F17+'AMORTIZACION DE CREDITO'!F18</f>
        <v>2268.6324905578626</v>
      </c>
      <c r="E20" s="402">
        <f>+'AMORTIZACION DE CREDITO'!F19+'AMORTIZACION DE CREDITO'!F20+'AMORTIZACION DE CREDITO'!F21</f>
        <v>2268.6324905578626</v>
      </c>
      <c r="F20" s="402">
        <f>+'AMORTIZACION DE CREDITO'!F22+'AMORTIZACION DE CREDITO'!F23+'AMORTIZACION DE CREDITO'!F24</f>
        <v>2268.6324905578626</v>
      </c>
      <c r="G20" s="402">
        <f>+'AMORTIZACION DE CREDITO'!F25+'AMORTIZACION DE CREDITO'!F26+'AMORTIZACION DE CREDITO'!F27</f>
        <v>2268.6324905578626</v>
      </c>
      <c r="H20" s="402">
        <f>+'AMORTIZACION DE CREDITO'!F28+'AMORTIZACION DE CREDITO'!F29+'AMORTIZACION DE CREDITO'!F30</f>
        <v>2268.6324905578626</v>
      </c>
      <c r="I20" s="402">
        <f>+'AMORTIZACION DE CREDITO'!F31+'AMORTIZACION DE CREDITO'!F32+'AMORTIZACION DE CREDITO'!F33</f>
        <v>2268.6324905578626</v>
      </c>
      <c r="J20" s="402">
        <f>+'AMORTIZACION DE CREDITO'!F34+'AMORTIZACION DE CREDITO'!F35+'AMORTIZACION DE CREDITO'!F36</f>
        <v>2268.6324905578626</v>
      </c>
      <c r="K20" s="402">
        <f>+'AMORTIZACION DE CREDITO'!F37+'AMORTIZACION DE CREDITO'!F38+'AMORTIZACION DE CREDITO'!F39</f>
        <v>2268.6324905578626</v>
      </c>
      <c r="L20" s="387">
        <f>+'AMORTIZACION DE CREDITO'!$F$16</f>
        <v>756.2108301859543</v>
      </c>
      <c r="M20" s="387">
        <f>+'AMORTIZACION DE CREDITO'!$F$17</f>
        <v>756.2108301859543</v>
      </c>
      <c r="N20" s="387">
        <f>+'AMORTIZACION DE CREDITO'!$F$18</f>
        <v>756.2108301859543</v>
      </c>
      <c r="O20" s="387">
        <f>+'AMORTIZACION DE CREDITO'!$F$19</f>
        <v>756.2108301859543</v>
      </c>
      <c r="P20" s="387">
        <f>+'AMORTIZACION DE CREDITO'!$F$20</f>
        <v>756.2108301859543</v>
      </c>
      <c r="Q20" s="387">
        <f>+'AMORTIZACION DE CREDITO'!$F$21</f>
        <v>756.2108301859543</v>
      </c>
      <c r="R20" s="387">
        <f>+'AMORTIZACION DE CREDITO'!$F$22</f>
        <v>756.2108301859543</v>
      </c>
      <c r="S20" s="387">
        <f>+'AMORTIZACION DE CREDITO'!$F$23</f>
        <v>756.2108301859543</v>
      </c>
      <c r="T20" s="387">
        <f>+'AMORTIZACION DE CREDITO'!$F$24</f>
        <v>756.2108301859543</v>
      </c>
      <c r="U20" s="387">
        <f>+'AMORTIZACION DE CREDITO'!$F$25</f>
        <v>756.2108301859543</v>
      </c>
      <c r="V20" s="387">
        <f>+'AMORTIZACION DE CREDITO'!$F$26</f>
        <v>756.2108301859543</v>
      </c>
      <c r="W20" s="387">
        <f>+'AMORTIZACION DE CREDITO'!$F$27</f>
        <v>756.2108301859543</v>
      </c>
      <c r="X20" s="387">
        <f>+'AMORTIZACION DE CREDITO'!$F$28</f>
        <v>756.2108301859543</v>
      </c>
      <c r="Y20" s="387">
        <f>+'AMORTIZACION DE CREDITO'!$F$29</f>
        <v>756.2108301859543</v>
      </c>
      <c r="Z20" s="387">
        <f>+'AMORTIZACION DE CREDITO'!$F$30</f>
        <v>756.2108301859543</v>
      </c>
      <c r="AA20" s="387">
        <f>+'AMORTIZACION DE CREDITO'!$F$31</f>
        <v>756.2108301859543</v>
      </c>
      <c r="AB20" s="387">
        <f>+'AMORTIZACION DE CREDITO'!$F$32</f>
        <v>756.2108301859543</v>
      </c>
      <c r="AC20" s="387">
        <f>+'AMORTIZACION DE CREDITO'!$F$33</f>
        <v>756.2108301859543</v>
      </c>
      <c r="AD20" s="387">
        <f>+'AMORTIZACION DE CREDITO'!$F$34</f>
        <v>756.2108301859543</v>
      </c>
      <c r="AE20" s="387">
        <f>+'AMORTIZACION DE CREDITO'!$F$35</f>
        <v>756.2108301859543</v>
      </c>
      <c r="AF20" s="387">
        <f>+'AMORTIZACION DE CREDITO'!$F$36</f>
        <v>756.2108301859543</v>
      </c>
      <c r="AG20" s="387">
        <f>+'AMORTIZACION DE CREDITO'!$F$37</f>
        <v>756.2108301859543</v>
      </c>
      <c r="AH20" s="387">
        <f>+'AMORTIZACION DE CREDITO'!$F$38</f>
        <v>756.2108301859543</v>
      </c>
      <c r="AI20" s="387">
        <f>+'AMORTIZACION DE CREDITO'!$F$39</f>
        <v>756.2108301859543</v>
      </c>
      <c r="AJ20" s="387"/>
    </row>
    <row r="21" spans="1:36" ht="12">
      <c r="A21" s="177">
        <v>2.1</v>
      </c>
      <c r="B21" s="182" t="s">
        <v>231</v>
      </c>
      <c r="C21" s="182"/>
      <c r="D21" s="395">
        <f aca="true" t="shared" si="12" ref="D21:K21">SUM(D18:D20)</f>
        <v>2721.7614914643295</v>
      </c>
      <c r="E21" s="395">
        <f t="shared" si="12"/>
        <v>2887.4894138591653</v>
      </c>
      <c r="F21" s="395">
        <f t="shared" si="12"/>
        <v>2807.1136811155993</v>
      </c>
      <c r="G21" s="395">
        <f t="shared" si="12"/>
        <v>3004.1850018136056</v>
      </c>
      <c r="H21" s="395">
        <f t="shared" si="12"/>
        <v>2725.4977902197757</v>
      </c>
      <c r="I21" s="395">
        <f t="shared" si="12"/>
        <v>2891.294566392111</v>
      </c>
      <c r="J21" s="395">
        <f t="shared" si="12"/>
        <v>2810.98895628675</v>
      </c>
      <c r="K21" s="395">
        <f t="shared" si="12"/>
        <v>3008.131691866662</v>
      </c>
      <c r="L21" s="395">
        <f aca="true" t="shared" si="13" ref="L21:AI21">SUM(L18:L20)</f>
        <v>923.3693671592068</v>
      </c>
      <c r="M21" s="395">
        <f t="shared" si="13"/>
        <v>917.5865038985273</v>
      </c>
      <c r="N21" s="395">
        <f t="shared" si="13"/>
        <v>909.2418495732621</v>
      </c>
      <c r="O21" s="395">
        <f t="shared" si="13"/>
        <v>944.273807901222</v>
      </c>
      <c r="P21" s="395">
        <f t="shared" si="13"/>
        <v>994.8843826229166</v>
      </c>
      <c r="Q21" s="395">
        <f t="shared" si="13"/>
        <v>977.8065775016935</v>
      </c>
      <c r="R21" s="395">
        <f t="shared" si="13"/>
        <v>949.6993963238764</v>
      </c>
      <c r="S21" s="395">
        <f t="shared" si="13"/>
        <v>948.6378428989065</v>
      </c>
      <c r="T21" s="395">
        <f t="shared" si="13"/>
        <v>936.9159210594831</v>
      </c>
      <c r="U21" s="395">
        <f t="shared" si="13"/>
        <v>994.520634661706</v>
      </c>
      <c r="V21" s="395">
        <f t="shared" si="13"/>
        <v>1045.335987585218</v>
      </c>
      <c r="W21" s="395">
        <f t="shared" si="13"/>
        <v>990.6569837333486</v>
      </c>
      <c r="X21" s="395">
        <f t="shared" si="13"/>
        <v>926.2697270332591</v>
      </c>
      <c r="Y21" s="395">
        <f t="shared" si="13"/>
        <v>919.7819214360876</v>
      </c>
      <c r="Z21" s="395">
        <f t="shared" si="13"/>
        <v>910.4948709170959</v>
      </c>
      <c r="AA21" s="395">
        <f t="shared" si="13"/>
        <v>945.5344794758157</v>
      </c>
      <c r="AB21" s="395">
        <f t="shared" si="13"/>
        <v>996.1527511361985</v>
      </c>
      <c r="AC21" s="395">
        <f t="shared" si="13"/>
        <v>979.0826899467634</v>
      </c>
      <c r="AD21" s="395">
        <f t="shared" si="13"/>
        <v>950.9832999807469</v>
      </c>
      <c r="AE21" s="395">
        <f t="shared" si="13"/>
        <v>949.9295853362553</v>
      </c>
      <c r="AF21" s="395">
        <f t="shared" si="13"/>
        <v>938.2155501364147</v>
      </c>
      <c r="AG21" s="395">
        <f t="shared" si="13"/>
        <v>995.8281985295251</v>
      </c>
      <c r="AH21" s="395">
        <f t="shared" si="13"/>
        <v>1046.6515346892138</v>
      </c>
      <c r="AI21" s="395">
        <f t="shared" si="13"/>
        <v>991.9805628145897</v>
      </c>
      <c r="AJ21" s="387"/>
    </row>
    <row r="22" spans="1:36" ht="12">
      <c r="A22" s="166">
        <v>2.2</v>
      </c>
      <c r="B22" s="167" t="s">
        <v>232</v>
      </c>
      <c r="C22" s="183"/>
      <c r="D22" s="407"/>
      <c r="E22" s="407"/>
      <c r="F22" s="407"/>
      <c r="G22" s="407"/>
      <c r="H22" s="407"/>
      <c r="I22" s="407"/>
      <c r="J22" s="407"/>
      <c r="K22" s="407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87"/>
    </row>
    <row r="23" spans="1:36" s="88" customFormat="1" ht="12">
      <c r="A23" s="184" t="s">
        <v>233</v>
      </c>
      <c r="B23" s="171" t="s">
        <v>229</v>
      </c>
      <c r="C23" s="181" t="s">
        <v>230</v>
      </c>
      <c r="D23" s="408">
        <f>+'[1]AMORTIZACION DE CREDITO'!C18</f>
        <v>14862.050473183464</v>
      </c>
      <c r="E23" s="408">
        <f>+'[1]AMORTIZACION DE CREDITO'!C21</f>
        <v>12853.421717240168</v>
      </c>
      <c r="F23" s="408">
        <f>+'[1]AMORTIZACION DE CREDITO'!C24</f>
        <v>10807.777271039515</v>
      </c>
      <c r="G23" s="408">
        <f>+'[1]AMORTIZACION DE CREDITO'!C27</f>
        <v>8724.434996918595</v>
      </c>
      <c r="H23" s="408">
        <f>+'[1]AMORTIZACION DE CREDITO'!C30</f>
        <v>6602.7001865508755</v>
      </c>
      <c r="I23" s="408">
        <f>+'[1]AMORTIZACION DE CREDITO'!C33</f>
        <v>4441.865329289751</v>
      </c>
      <c r="J23" s="408">
        <f>+'[1]AMORTIZACION DE CREDITO'!C36</f>
        <v>2241.2098762430624</v>
      </c>
      <c r="K23" s="408">
        <f>+'[1]AMORTIZACION DE CREDITO'!C39</f>
        <v>-1.042508301907219E-10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0</v>
      </c>
      <c r="R23" s="396">
        <v>0</v>
      </c>
      <c r="S23" s="396">
        <v>0</v>
      </c>
      <c r="T23" s="396">
        <v>0</v>
      </c>
      <c r="U23" s="396">
        <v>0</v>
      </c>
      <c r="V23" s="396">
        <v>0</v>
      </c>
      <c r="W23" s="396">
        <v>0</v>
      </c>
      <c r="X23" s="396">
        <v>0</v>
      </c>
      <c r="Y23" s="396">
        <v>0</v>
      </c>
      <c r="Z23" s="396">
        <v>0</v>
      </c>
      <c r="AA23" s="396">
        <v>0</v>
      </c>
      <c r="AB23" s="396">
        <v>0</v>
      </c>
      <c r="AC23" s="396">
        <v>0</v>
      </c>
      <c r="AD23" s="396">
        <v>0</v>
      </c>
      <c r="AE23" s="396">
        <v>0</v>
      </c>
      <c r="AF23" s="396">
        <v>0</v>
      </c>
      <c r="AG23" s="396">
        <v>0</v>
      </c>
      <c r="AH23" s="396">
        <v>0</v>
      </c>
      <c r="AI23" s="396">
        <v>0</v>
      </c>
      <c r="AJ23" s="396"/>
    </row>
    <row r="24" spans="1:36" s="88" customFormat="1" ht="12">
      <c r="A24" s="177">
        <v>2.1</v>
      </c>
      <c r="B24" s="182" t="s">
        <v>234</v>
      </c>
      <c r="C24" s="182"/>
      <c r="D24" s="395">
        <f>D23</f>
        <v>14862.050473183464</v>
      </c>
      <c r="E24" s="395">
        <f aca="true" t="shared" si="14" ref="E24:K24">E23</f>
        <v>12853.421717240168</v>
      </c>
      <c r="F24" s="395">
        <f t="shared" si="14"/>
        <v>10807.777271039515</v>
      </c>
      <c r="G24" s="395">
        <f t="shared" si="14"/>
        <v>8724.434996918595</v>
      </c>
      <c r="H24" s="395">
        <f t="shared" si="14"/>
        <v>6602.7001865508755</v>
      </c>
      <c r="I24" s="395">
        <f t="shared" si="14"/>
        <v>4441.865329289751</v>
      </c>
      <c r="J24" s="395">
        <f t="shared" si="14"/>
        <v>2241.2098762430624</v>
      </c>
      <c r="K24" s="395">
        <f t="shared" si="14"/>
        <v>-1.042508301907219E-10</v>
      </c>
      <c r="L24" s="395">
        <f aca="true" t="shared" si="15" ref="L24:AI24">L23</f>
        <v>0</v>
      </c>
      <c r="M24" s="395">
        <f t="shared" si="15"/>
        <v>0</v>
      </c>
      <c r="N24" s="395">
        <f t="shared" si="15"/>
        <v>0</v>
      </c>
      <c r="O24" s="395">
        <f t="shared" si="15"/>
        <v>0</v>
      </c>
      <c r="P24" s="395">
        <f t="shared" si="15"/>
        <v>0</v>
      </c>
      <c r="Q24" s="395">
        <f t="shared" si="15"/>
        <v>0</v>
      </c>
      <c r="R24" s="395">
        <f t="shared" si="15"/>
        <v>0</v>
      </c>
      <c r="S24" s="395">
        <f t="shared" si="15"/>
        <v>0</v>
      </c>
      <c r="T24" s="395">
        <f t="shared" si="15"/>
        <v>0</v>
      </c>
      <c r="U24" s="395">
        <f t="shared" si="15"/>
        <v>0</v>
      </c>
      <c r="V24" s="395">
        <f t="shared" si="15"/>
        <v>0</v>
      </c>
      <c r="W24" s="395">
        <f t="shared" si="15"/>
        <v>0</v>
      </c>
      <c r="X24" s="395">
        <f t="shared" si="15"/>
        <v>0</v>
      </c>
      <c r="Y24" s="395">
        <f t="shared" si="15"/>
        <v>0</v>
      </c>
      <c r="Z24" s="395">
        <f t="shared" si="15"/>
        <v>0</v>
      </c>
      <c r="AA24" s="395">
        <f t="shared" si="15"/>
        <v>0</v>
      </c>
      <c r="AB24" s="395">
        <f t="shared" si="15"/>
        <v>0</v>
      </c>
      <c r="AC24" s="395">
        <f t="shared" si="15"/>
        <v>0</v>
      </c>
      <c r="AD24" s="395">
        <f t="shared" si="15"/>
        <v>0</v>
      </c>
      <c r="AE24" s="395">
        <f t="shared" si="15"/>
        <v>0</v>
      </c>
      <c r="AF24" s="395">
        <f t="shared" si="15"/>
        <v>0</v>
      </c>
      <c r="AG24" s="395">
        <f t="shared" si="15"/>
        <v>0</v>
      </c>
      <c r="AH24" s="395">
        <f t="shared" si="15"/>
        <v>0</v>
      </c>
      <c r="AI24" s="395">
        <f t="shared" si="15"/>
        <v>0</v>
      </c>
      <c r="AJ24" s="396"/>
    </row>
    <row r="25" spans="1:36" ht="12">
      <c r="A25" s="175">
        <v>2.3</v>
      </c>
      <c r="B25" s="176" t="s">
        <v>235</v>
      </c>
      <c r="C25" s="176"/>
      <c r="D25" s="391">
        <f>+D21+D24</f>
        <v>17583.811964647794</v>
      </c>
      <c r="E25" s="391">
        <f aca="true" t="shared" si="16" ref="E25:K25">+E21+E24</f>
        <v>15740.911131099332</v>
      </c>
      <c r="F25" s="391">
        <f t="shared" si="16"/>
        <v>13614.890952155114</v>
      </c>
      <c r="G25" s="391">
        <f t="shared" si="16"/>
        <v>11728.6199987322</v>
      </c>
      <c r="H25" s="391">
        <f t="shared" si="16"/>
        <v>9328.19797677065</v>
      </c>
      <c r="I25" s="391">
        <f t="shared" si="16"/>
        <v>7333.159895681862</v>
      </c>
      <c r="J25" s="391">
        <f t="shared" si="16"/>
        <v>5052.1988325298125</v>
      </c>
      <c r="K25" s="391">
        <f t="shared" si="16"/>
        <v>3008.131691866558</v>
      </c>
      <c r="L25" s="391">
        <f aca="true" t="shared" si="17" ref="L25:AI25">+L21+L24</f>
        <v>923.3693671592068</v>
      </c>
      <c r="M25" s="391">
        <f t="shared" si="17"/>
        <v>917.5865038985273</v>
      </c>
      <c r="N25" s="391">
        <f t="shared" si="17"/>
        <v>909.2418495732621</v>
      </c>
      <c r="O25" s="391">
        <f t="shared" si="17"/>
        <v>944.273807901222</v>
      </c>
      <c r="P25" s="391">
        <f t="shared" si="17"/>
        <v>994.8843826229166</v>
      </c>
      <c r="Q25" s="391">
        <f t="shared" si="17"/>
        <v>977.8065775016935</v>
      </c>
      <c r="R25" s="391">
        <f t="shared" si="17"/>
        <v>949.6993963238764</v>
      </c>
      <c r="S25" s="391">
        <f t="shared" si="17"/>
        <v>948.6378428989065</v>
      </c>
      <c r="T25" s="391">
        <f t="shared" si="17"/>
        <v>936.9159210594831</v>
      </c>
      <c r="U25" s="391">
        <f t="shared" si="17"/>
        <v>994.520634661706</v>
      </c>
      <c r="V25" s="391">
        <f t="shared" si="17"/>
        <v>1045.335987585218</v>
      </c>
      <c r="W25" s="391">
        <f t="shared" si="17"/>
        <v>990.6569837333486</v>
      </c>
      <c r="X25" s="391">
        <f t="shared" si="17"/>
        <v>926.2697270332591</v>
      </c>
      <c r="Y25" s="391">
        <f t="shared" si="17"/>
        <v>919.7819214360876</v>
      </c>
      <c r="Z25" s="391">
        <f t="shared" si="17"/>
        <v>910.4948709170959</v>
      </c>
      <c r="AA25" s="391">
        <f t="shared" si="17"/>
        <v>945.5344794758157</v>
      </c>
      <c r="AB25" s="391">
        <f t="shared" si="17"/>
        <v>996.1527511361985</v>
      </c>
      <c r="AC25" s="391">
        <f t="shared" si="17"/>
        <v>979.0826899467634</v>
      </c>
      <c r="AD25" s="391">
        <f t="shared" si="17"/>
        <v>950.9832999807469</v>
      </c>
      <c r="AE25" s="391">
        <f t="shared" si="17"/>
        <v>949.9295853362553</v>
      </c>
      <c r="AF25" s="391">
        <f t="shared" si="17"/>
        <v>938.2155501364147</v>
      </c>
      <c r="AG25" s="391">
        <f t="shared" si="17"/>
        <v>995.8281985295251</v>
      </c>
      <c r="AH25" s="391">
        <f t="shared" si="17"/>
        <v>1046.6515346892138</v>
      </c>
      <c r="AI25" s="391">
        <f t="shared" si="17"/>
        <v>991.9805628145897</v>
      </c>
      <c r="AJ25" s="387"/>
    </row>
    <row r="26" spans="1:36" ht="12">
      <c r="A26" s="185">
        <v>2.4</v>
      </c>
      <c r="B26" s="186" t="s">
        <v>236</v>
      </c>
      <c r="C26" s="187"/>
      <c r="D26" s="409"/>
      <c r="E26" s="409"/>
      <c r="F26" s="409"/>
      <c r="G26" s="409"/>
      <c r="H26" s="409"/>
      <c r="I26" s="409"/>
      <c r="J26" s="409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87"/>
    </row>
    <row r="27" spans="1:36" ht="12">
      <c r="A27" s="171" t="s">
        <v>237</v>
      </c>
      <c r="B27" s="172" t="s">
        <v>238</v>
      </c>
      <c r="C27" s="173" t="s">
        <v>239</v>
      </c>
      <c r="D27" s="401">
        <f>'[1]FINANCIAMIENTO'!D5</f>
        <v>50000</v>
      </c>
      <c r="E27" s="410">
        <f>D27</f>
        <v>50000</v>
      </c>
      <c r="F27" s="410">
        <f aca="true" t="shared" si="18" ref="F27:K27">E27</f>
        <v>50000</v>
      </c>
      <c r="G27" s="410">
        <f t="shared" si="18"/>
        <v>50000</v>
      </c>
      <c r="H27" s="410">
        <f t="shared" si="18"/>
        <v>50000</v>
      </c>
      <c r="I27" s="410">
        <f t="shared" si="18"/>
        <v>50000</v>
      </c>
      <c r="J27" s="410">
        <f t="shared" si="18"/>
        <v>50000</v>
      </c>
      <c r="K27" s="410">
        <f t="shared" si="18"/>
        <v>50000</v>
      </c>
      <c r="L27" s="387">
        <f>+FINANCIAMIENTO!D5</f>
        <v>50000</v>
      </c>
      <c r="M27" s="387">
        <f>+L27</f>
        <v>50000</v>
      </c>
      <c r="N27" s="387">
        <f aca="true" t="shared" si="19" ref="N27:AI27">+M27</f>
        <v>50000</v>
      </c>
      <c r="O27" s="387">
        <f t="shared" si="19"/>
        <v>50000</v>
      </c>
      <c r="P27" s="387">
        <f t="shared" si="19"/>
        <v>50000</v>
      </c>
      <c r="Q27" s="387">
        <f t="shared" si="19"/>
        <v>50000</v>
      </c>
      <c r="R27" s="387">
        <f t="shared" si="19"/>
        <v>50000</v>
      </c>
      <c r="S27" s="387">
        <f t="shared" si="19"/>
        <v>50000</v>
      </c>
      <c r="T27" s="387">
        <f t="shared" si="19"/>
        <v>50000</v>
      </c>
      <c r="U27" s="387">
        <f t="shared" si="19"/>
        <v>50000</v>
      </c>
      <c r="V27" s="387">
        <f t="shared" si="19"/>
        <v>50000</v>
      </c>
      <c r="W27" s="387">
        <f t="shared" si="19"/>
        <v>50000</v>
      </c>
      <c r="X27" s="387">
        <f t="shared" si="19"/>
        <v>50000</v>
      </c>
      <c r="Y27" s="387">
        <f t="shared" si="19"/>
        <v>50000</v>
      </c>
      <c r="Z27" s="387">
        <f t="shared" si="19"/>
        <v>50000</v>
      </c>
      <c r="AA27" s="387">
        <f t="shared" si="19"/>
        <v>50000</v>
      </c>
      <c r="AB27" s="387">
        <f t="shared" si="19"/>
        <v>50000</v>
      </c>
      <c r="AC27" s="387">
        <f t="shared" si="19"/>
        <v>50000</v>
      </c>
      <c r="AD27" s="387">
        <f t="shared" si="19"/>
        <v>50000</v>
      </c>
      <c r="AE27" s="387">
        <f t="shared" si="19"/>
        <v>50000</v>
      </c>
      <c r="AF27" s="387">
        <f t="shared" si="19"/>
        <v>50000</v>
      </c>
      <c r="AG27" s="387">
        <f t="shared" si="19"/>
        <v>50000</v>
      </c>
      <c r="AH27" s="387">
        <f t="shared" si="19"/>
        <v>50000</v>
      </c>
      <c r="AI27" s="387">
        <f t="shared" si="19"/>
        <v>50000</v>
      </c>
      <c r="AJ27" s="387"/>
    </row>
    <row r="28" spans="1:36" ht="12">
      <c r="A28" s="171" t="s">
        <v>240</v>
      </c>
      <c r="B28" s="171" t="s">
        <v>241</v>
      </c>
      <c r="C28" s="174" t="s">
        <v>242</v>
      </c>
      <c r="D28" s="402">
        <f>+'ESTADO DE GANACIAS Y PERDIDAS'!B17+'ESTADO DE GANACIAS Y PERDIDAS'!C17+'ESTADO DE GANACIAS Y PERDIDAS'!D17</f>
        <v>18781.043972852207</v>
      </c>
      <c r="E28" s="402">
        <f>+'ESTADO DE GANACIAS Y PERDIDAS'!E17+'ESTADO DE GANACIAS Y PERDIDAS'!F17+'ESTADO DE GANACIAS Y PERDIDAS'!G17</f>
        <v>25284.958821250802</v>
      </c>
      <c r="F28" s="402">
        <f>+'ESTADO DE GANACIAS Y PERDIDAS'!H17+'ESTADO DE GANACIAS Y PERDIDAS'!I17+'ESTADO DE GANACIAS Y PERDIDAS'!J17</f>
        <v>22098.20611925172</v>
      </c>
      <c r="G28" s="402">
        <f>+'ESTADO DE GANACIAS Y PERDIDAS'!K17+'ESTADO DE GANACIAS Y PERDIDAS'!L17+'ESTADO DE GANACIAS Y PERDIDAS'!M17</f>
        <v>29713.36350147398</v>
      </c>
      <c r="H28" s="402">
        <f>+'ESTADO DE GANACIAS Y PERDIDAS'!N17+'ESTADO DE GANACIAS Y PERDIDAS'!O17+'ESTADO DE GANACIAS Y PERDIDAS'!P17</f>
        <v>19028.64712431461</v>
      </c>
      <c r="I28" s="402">
        <f>+'ESTADO DE GANACIAS Y PERDIDAS'!Q17+'ESTADO DE GANACIAS Y PERDIDAS'!R17+'ESTADO DE GANACIAS Y PERDIDAS'!S17</f>
        <v>25433.35977003568</v>
      </c>
      <c r="J28" s="402">
        <f>+'ESTADO DE GANACIAS Y PERDIDAS'!T17+'ESTADO DE GANACIAS Y PERDIDAS'!U17+'ESTADO DE GANACIAS Y PERDIDAS'!V17</f>
        <v>22249.341850926605</v>
      </c>
      <c r="K28" s="402">
        <f>+'ESTADO DE GANACIAS Y PERDIDAS'!W17+'ESTADO DE GANACIAS Y PERDIDAS'!X17+'ESTADO DE GANACIAS Y PERDIDAS'!Y17</f>
        <v>29867.284413543173</v>
      </c>
      <c r="L28" s="387">
        <f>+'ESTADO DE GANACIAS Y PERDIDAS'!B17</f>
        <v>6519.182941956851</v>
      </c>
      <c r="M28" s="387">
        <f>+'ESTADO DE GANACIAS Y PERDIDAS'!C17</f>
        <v>6293.651274790348</v>
      </c>
      <c r="N28" s="387">
        <f>+'ESTADO DE GANACIAS Y PERDIDAS'!D17</f>
        <v>5968.209756105006</v>
      </c>
      <c r="O28" s="387">
        <f>+'ESTADO DE GANACIAS Y PERDIDAS'!E17</f>
        <v>7334.456130895438</v>
      </c>
      <c r="P28" s="387">
        <f>+'ESTADO DE GANACIAS Y PERDIDAS'!F17</f>
        <v>9308.268545041532</v>
      </c>
      <c r="Q28" s="387">
        <f>+'ESTADO DE GANACIAS Y PERDIDAS'!G17</f>
        <v>8642.23414531383</v>
      </c>
      <c r="R28" s="387">
        <f>+'ESTADO DE GANACIAS Y PERDIDAS'!H17</f>
        <v>7546.054079378961</v>
      </c>
      <c r="S28" s="387">
        <f>+'ESTADO DE GANACIAS Y PERDIDAS'!I17</f>
        <v>7504.653495805136</v>
      </c>
      <c r="T28" s="387">
        <f>+'ESTADO DE GANACIAS Y PERDIDAS'!J17</f>
        <v>7047.498544067625</v>
      </c>
      <c r="U28" s="387">
        <f>+'ESTADO DE GANACIAS Y PERDIDAS'!K17</f>
        <v>9294.082374554318</v>
      </c>
      <c r="V28" s="387">
        <f>+'ESTADO DE GANACIAS Y PERDIDAS'!L17</f>
        <v>11275.881138571285</v>
      </c>
      <c r="W28" s="387">
        <f>+'ESTADO DE GANACIAS Y PERDIDAS'!M17</f>
        <v>9143.399988348378</v>
      </c>
      <c r="X28" s="387">
        <f>+'ESTADO DE GANACIAS Y PERDIDAS'!N17</f>
        <v>6632.296977044887</v>
      </c>
      <c r="Y28" s="387">
        <f>+'ESTADO DE GANACIAS Y PERDIDAS'!O17</f>
        <v>6379.2725587552</v>
      </c>
      <c r="Z28" s="387">
        <f>+'ESTADO DE GANACIAS Y PERDIDAS'!P17</f>
        <v>6017.077588514523</v>
      </c>
      <c r="AA28" s="387">
        <f>+'ESTADO DE GANACIAS Y PERDIDAS'!Q17</f>
        <v>7383.622322304599</v>
      </c>
      <c r="AB28" s="387">
        <f>+'ESTADO DE GANACIAS Y PERDIDAS'!R17</f>
        <v>9357.734917059526</v>
      </c>
      <c r="AC28" s="387">
        <f>+'ESTADO DE GANACIAS Y PERDIDAS'!S17</f>
        <v>8692.002530671554</v>
      </c>
      <c r="AD28" s="387">
        <f>+'ESTADO DE GANACIAS Y PERDIDAS'!T17</f>
        <v>7596.126321996914</v>
      </c>
      <c r="AE28" s="387">
        <f>+'ESTADO DE GANACIAS Y PERDIDAS'!U17</f>
        <v>7555.0314508617375</v>
      </c>
      <c r="AF28" s="387">
        <f>+'ESTADO DE GANACIAS Y PERDIDAS'!V17</f>
        <v>7098.184078067954</v>
      </c>
      <c r="AG28" s="387">
        <f>+'ESTADO DE GANACIAS Y PERDIDAS'!W17</f>
        <v>9345.077365399266</v>
      </c>
      <c r="AH28" s="387">
        <f>+'ESTADO DE GANACIAS Y PERDIDAS'!X17</f>
        <v>11327.187475627126</v>
      </c>
      <c r="AI28" s="387">
        <f>+'ESTADO DE GANACIAS Y PERDIDAS'!Y17</f>
        <v>9195.01957251678</v>
      </c>
      <c r="AJ28" s="387"/>
    </row>
    <row r="29" spans="1:36" ht="12">
      <c r="A29" s="171" t="s">
        <v>243</v>
      </c>
      <c r="B29" s="171" t="s">
        <v>244</v>
      </c>
      <c r="C29" s="400" t="s">
        <v>245</v>
      </c>
      <c r="D29" s="402">
        <v>0</v>
      </c>
      <c r="E29" s="398">
        <f aca="true" t="shared" si="20" ref="E29:K29">D28+D29</f>
        <v>18781.043972852207</v>
      </c>
      <c r="F29" s="398">
        <f t="shared" si="20"/>
        <v>44066.00279410301</v>
      </c>
      <c r="G29" s="398">
        <f t="shared" si="20"/>
        <v>66164.20891335473</v>
      </c>
      <c r="H29" s="398">
        <f t="shared" si="20"/>
        <v>95877.57241482871</v>
      </c>
      <c r="I29" s="398">
        <f t="shared" si="20"/>
        <v>114906.21953914332</v>
      </c>
      <c r="J29" s="398">
        <f t="shared" si="20"/>
        <v>140339.579309179</v>
      </c>
      <c r="K29" s="398">
        <f t="shared" si="20"/>
        <v>162588.92116010562</v>
      </c>
      <c r="L29" s="387">
        <v>0</v>
      </c>
      <c r="M29" s="398">
        <f>L28+L29</f>
        <v>6519.182941956851</v>
      </c>
      <c r="N29" s="398">
        <f aca="true" t="shared" si="21" ref="N29:AI29">M28+M29</f>
        <v>12812.8342167472</v>
      </c>
      <c r="O29" s="398">
        <f t="shared" si="21"/>
        <v>18781.043972852207</v>
      </c>
      <c r="P29" s="398">
        <f t="shared" si="21"/>
        <v>26115.500103747647</v>
      </c>
      <c r="Q29" s="398">
        <f t="shared" si="21"/>
        <v>35423.76864878918</v>
      </c>
      <c r="R29" s="398">
        <f t="shared" si="21"/>
        <v>44066.002794103006</v>
      </c>
      <c r="S29" s="398">
        <f t="shared" si="21"/>
        <v>51612.05687348197</v>
      </c>
      <c r="T29" s="398">
        <f t="shared" si="21"/>
        <v>59116.7103692871</v>
      </c>
      <c r="U29" s="398">
        <f t="shared" si="21"/>
        <v>66164.20891335473</v>
      </c>
      <c r="V29" s="398">
        <f t="shared" si="21"/>
        <v>75458.29128790904</v>
      </c>
      <c r="W29" s="398">
        <f t="shared" si="21"/>
        <v>86734.17242648033</v>
      </c>
      <c r="X29" s="398">
        <f t="shared" si="21"/>
        <v>95877.57241482871</v>
      </c>
      <c r="Y29" s="398">
        <f t="shared" si="21"/>
        <v>102509.8693918736</v>
      </c>
      <c r="Z29" s="398">
        <f t="shared" si="21"/>
        <v>108889.1419506288</v>
      </c>
      <c r="AA29" s="398">
        <f t="shared" si="21"/>
        <v>114906.21953914332</v>
      </c>
      <c r="AB29" s="398">
        <f t="shared" si="21"/>
        <v>122289.84186144792</v>
      </c>
      <c r="AC29" s="398">
        <f t="shared" si="21"/>
        <v>131647.57677850744</v>
      </c>
      <c r="AD29" s="398">
        <f t="shared" si="21"/>
        <v>140339.57930917898</v>
      </c>
      <c r="AE29" s="398">
        <f t="shared" si="21"/>
        <v>147935.7056311759</v>
      </c>
      <c r="AF29" s="398">
        <f t="shared" si="21"/>
        <v>155490.73708203764</v>
      </c>
      <c r="AG29" s="398">
        <f t="shared" si="21"/>
        <v>162588.9211601056</v>
      </c>
      <c r="AH29" s="398">
        <f t="shared" si="21"/>
        <v>171933.99852550484</v>
      </c>
      <c r="AI29" s="398">
        <f t="shared" si="21"/>
        <v>183261.18600113195</v>
      </c>
      <c r="AJ29" s="387"/>
    </row>
    <row r="30" spans="1:36" ht="12">
      <c r="A30" s="175">
        <v>2.4</v>
      </c>
      <c r="B30" s="178" t="s">
        <v>246</v>
      </c>
      <c r="C30" s="178"/>
      <c r="D30" s="393">
        <f>SUM(D27:D29)</f>
        <v>68781.0439728522</v>
      </c>
      <c r="E30" s="393">
        <f aca="true" t="shared" si="22" ref="E30:K30">SUM(E27:E29)</f>
        <v>94066.002794103</v>
      </c>
      <c r="F30" s="393">
        <f t="shared" si="22"/>
        <v>116164.20891335474</v>
      </c>
      <c r="G30" s="393">
        <f t="shared" si="22"/>
        <v>145877.5724148287</v>
      </c>
      <c r="H30" s="393">
        <f t="shared" si="22"/>
        <v>164906.21953914332</v>
      </c>
      <c r="I30" s="393">
        <f t="shared" si="22"/>
        <v>190339.57930917898</v>
      </c>
      <c r="J30" s="393">
        <f t="shared" si="22"/>
        <v>212588.92116010562</v>
      </c>
      <c r="K30" s="393">
        <f t="shared" si="22"/>
        <v>242456.2055736488</v>
      </c>
      <c r="L30" s="393">
        <f aca="true" t="shared" si="23" ref="L30:AI30">SUM(L27:L29)</f>
        <v>56519.18294195685</v>
      </c>
      <c r="M30" s="393">
        <f t="shared" si="23"/>
        <v>62812.8342167472</v>
      </c>
      <c r="N30" s="393">
        <f t="shared" si="23"/>
        <v>68781.0439728522</v>
      </c>
      <c r="O30" s="393">
        <f t="shared" si="23"/>
        <v>76115.50010374765</v>
      </c>
      <c r="P30" s="393">
        <f t="shared" si="23"/>
        <v>85423.76864878918</v>
      </c>
      <c r="Q30" s="393">
        <f t="shared" si="23"/>
        <v>94066.002794103</v>
      </c>
      <c r="R30" s="393">
        <f t="shared" si="23"/>
        <v>101612.05687348197</v>
      </c>
      <c r="S30" s="393">
        <f t="shared" si="23"/>
        <v>109116.7103692871</v>
      </c>
      <c r="T30" s="393">
        <f t="shared" si="23"/>
        <v>116164.20891335473</v>
      </c>
      <c r="U30" s="393">
        <f t="shared" si="23"/>
        <v>125458.29128790904</v>
      </c>
      <c r="V30" s="393">
        <f t="shared" si="23"/>
        <v>136734.17242648033</v>
      </c>
      <c r="W30" s="393">
        <f t="shared" si="23"/>
        <v>145877.5724148287</v>
      </c>
      <c r="X30" s="393">
        <f t="shared" si="23"/>
        <v>152509.8693918736</v>
      </c>
      <c r="Y30" s="393">
        <f t="shared" si="23"/>
        <v>158889.14195062878</v>
      </c>
      <c r="Z30" s="393">
        <f t="shared" si="23"/>
        <v>164906.21953914332</v>
      </c>
      <c r="AA30" s="393">
        <f t="shared" si="23"/>
        <v>172289.8418614479</v>
      </c>
      <c r="AB30" s="393">
        <f t="shared" si="23"/>
        <v>181647.57677850744</v>
      </c>
      <c r="AC30" s="393">
        <f t="shared" si="23"/>
        <v>190339.57930917898</v>
      </c>
      <c r="AD30" s="393">
        <f t="shared" si="23"/>
        <v>197935.7056311759</v>
      </c>
      <c r="AE30" s="393">
        <f t="shared" si="23"/>
        <v>205490.73708203764</v>
      </c>
      <c r="AF30" s="393">
        <f t="shared" si="23"/>
        <v>212588.9211601056</v>
      </c>
      <c r="AG30" s="393">
        <f t="shared" si="23"/>
        <v>221933.99852550484</v>
      </c>
      <c r="AH30" s="393">
        <f t="shared" si="23"/>
        <v>233261.18600113195</v>
      </c>
      <c r="AI30" s="393">
        <f t="shared" si="23"/>
        <v>242456.20557364874</v>
      </c>
      <c r="AJ30" s="387"/>
    </row>
    <row r="31" spans="1:36" ht="12">
      <c r="A31" s="411">
        <v>2.5</v>
      </c>
      <c r="B31" s="414" t="s">
        <v>247</v>
      </c>
      <c r="C31" s="414"/>
      <c r="D31" s="415">
        <f aca="true" t="shared" si="24" ref="D31:K31">D30+D25</f>
        <v>86364.85593749999</v>
      </c>
      <c r="E31" s="415">
        <f t="shared" si="24"/>
        <v>109806.91392520233</v>
      </c>
      <c r="F31" s="415">
        <f t="shared" si="24"/>
        <v>129779.09986550985</v>
      </c>
      <c r="G31" s="415">
        <f t="shared" si="24"/>
        <v>157606.1924135609</v>
      </c>
      <c r="H31" s="415">
        <f t="shared" si="24"/>
        <v>174234.41751591396</v>
      </c>
      <c r="I31" s="415">
        <f t="shared" si="24"/>
        <v>197672.73920486085</v>
      </c>
      <c r="J31" s="415">
        <f t="shared" si="24"/>
        <v>217641.11999263542</v>
      </c>
      <c r="K31" s="415">
        <f t="shared" si="24"/>
        <v>245464.33726551535</v>
      </c>
      <c r="L31" s="399">
        <f aca="true" t="shared" si="25" ref="L31:AI31">L30+L25</f>
        <v>57442.55230911606</v>
      </c>
      <c r="M31" s="399">
        <f t="shared" si="25"/>
        <v>63730.42072064573</v>
      </c>
      <c r="N31" s="399">
        <f t="shared" si="25"/>
        <v>69690.28582242546</v>
      </c>
      <c r="O31" s="399">
        <f t="shared" si="25"/>
        <v>77059.77391164887</v>
      </c>
      <c r="P31" s="399">
        <f t="shared" si="25"/>
        <v>86418.65303141209</v>
      </c>
      <c r="Q31" s="399">
        <f t="shared" si="25"/>
        <v>95043.80937160469</v>
      </c>
      <c r="R31" s="399">
        <f t="shared" si="25"/>
        <v>102561.75626980585</v>
      </c>
      <c r="S31" s="399">
        <f t="shared" si="25"/>
        <v>110065.34821218601</v>
      </c>
      <c r="T31" s="399">
        <f t="shared" si="25"/>
        <v>117101.12483441421</v>
      </c>
      <c r="U31" s="399">
        <f t="shared" si="25"/>
        <v>126452.81192257075</v>
      </c>
      <c r="V31" s="399">
        <f t="shared" si="25"/>
        <v>137779.50841406555</v>
      </c>
      <c r="W31" s="399">
        <f t="shared" si="25"/>
        <v>146868.22939856205</v>
      </c>
      <c r="X31" s="399">
        <f t="shared" si="25"/>
        <v>153436.13911890687</v>
      </c>
      <c r="Y31" s="399">
        <f t="shared" si="25"/>
        <v>159808.92387206486</v>
      </c>
      <c r="Z31" s="399">
        <f t="shared" si="25"/>
        <v>165816.7144100604</v>
      </c>
      <c r="AA31" s="399">
        <f t="shared" si="25"/>
        <v>173235.3763409237</v>
      </c>
      <c r="AB31" s="399">
        <f t="shared" si="25"/>
        <v>182643.72952964364</v>
      </c>
      <c r="AC31" s="399">
        <f t="shared" si="25"/>
        <v>191318.66199912573</v>
      </c>
      <c r="AD31" s="399">
        <f t="shared" si="25"/>
        <v>198886.68893115665</v>
      </c>
      <c r="AE31" s="399">
        <f t="shared" si="25"/>
        <v>206440.66666737388</v>
      </c>
      <c r="AF31" s="399">
        <f t="shared" si="25"/>
        <v>213527.136710242</v>
      </c>
      <c r="AG31" s="399">
        <f t="shared" si="25"/>
        <v>222929.82672403436</v>
      </c>
      <c r="AH31" s="399">
        <f t="shared" si="25"/>
        <v>234307.83753582116</v>
      </c>
      <c r="AI31" s="399">
        <f t="shared" si="25"/>
        <v>243448.18613646334</v>
      </c>
      <c r="AJ31" s="387"/>
    </row>
    <row r="32" spans="12:36" ht="12"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</row>
    <row r="33" spans="12:36" ht="12">
      <c r="L33" s="387">
        <f>+L15-L31</f>
        <v>7709.872277364659</v>
      </c>
      <c r="M33" s="387">
        <f aca="true" t="shared" si="26" ref="M33:U33">+M15-M31</f>
        <v>1332.0038658349877</v>
      </c>
      <c r="N33" s="387">
        <f t="shared" si="26"/>
        <v>-5377.861235944743</v>
      </c>
      <c r="O33" s="387">
        <f t="shared" si="26"/>
        <v>-8157.34932516815</v>
      </c>
      <c r="P33" s="387">
        <f t="shared" si="26"/>
        <v>-10066.228444931374</v>
      </c>
      <c r="Q33" s="387">
        <f t="shared" si="26"/>
        <v>-19731.38478512397</v>
      </c>
      <c r="R33" s="387">
        <f t="shared" si="26"/>
        <v>-28183.08168332513</v>
      </c>
      <c r="S33" s="387">
        <f t="shared" si="26"/>
        <v>-42562.9236257053</v>
      </c>
      <c r="T33" s="387">
        <f t="shared" si="26"/>
        <v>-50438.70024793349</v>
      </c>
      <c r="U33" s="387">
        <f t="shared" si="26"/>
        <v>-51690.38733609003</v>
      </c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</row>
  </sheetData>
  <sheetProtection/>
  <mergeCells count="4">
    <mergeCell ref="A3:C3"/>
    <mergeCell ref="A1:C1"/>
    <mergeCell ref="L16:AI16"/>
    <mergeCell ref="L4:A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4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21" sqref="J21"/>
    </sheetView>
  </sheetViews>
  <sheetFormatPr defaultColWidth="11.421875" defaultRowHeight="15"/>
  <cols>
    <col min="1" max="1" width="5.28125" style="4" customWidth="1"/>
    <col min="2" max="2" width="11.421875" style="4" customWidth="1"/>
    <col min="3" max="3" width="23.8515625" style="4" customWidth="1"/>
    <col min="4" max="11" width="12.28125" style="4" bestFit="1" customWidth="1"/>
    <col min="12" max="12" width="11.421875" style="4" customWidth="1"/>
    <col min="13" max="16" width="14.00390625" style="4" customWidth="1"/>
    <col min="17" max="16384" width="11.421875" style="4" customWidth="1"/>
  </cols>
  <sheetData>
    <row r="1" spans="1:11" ht="12">
      <c r="A1" s="436" t="s">
        <v>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5" ht="12">
      <c r="A2" s="63"/>
      <c r="B2" s="63"/>
      <c r="C2" s="63"/>
      <c r="D2" s="63"/>
      <c r="E2" s="63"/>
    </row>
    <row r="3" spans="1:11" s="160" customFormat="1" ht="35.25" customHeight="1">
      <c r="A3" s="453" t="s">
        <v>187</v>
      </c>
      <c r="B3" s="454"/>
      <c r="C3" s="454"/>
      <c r="D3" s="159" t="s">
        <v>188</v>
      </c>
      <c r="E3" s="159" t="s">
        <v>189</v>
      </c>
      <c r="F3" s="159" t="s">
        <v>190</v>
      </c>
      <c r="G3" s="159" t="s">
        <v>191</v>
      </c>
      <c r="H3" s="159" t="s">
        <v>192</v>
      </c>
      <c r="I3" s="159" t="s">
        <v>193</v>
      </c>
      <c r="J3" s="159" t="s">
        <v>194</v>
      </c>
      <c r="K3" s="159" t="s">
        <v>195</v>
      </c>
    </row>
    <row r="4" spans="1:11" ht="12">
      <c r="A4" s="161">
        <v>1</v>
      </c>
      <c r="B4" s="162" t="s">
        <v>196</v>
      </c>
      <c r="C4" s="163"/>
      <c r="D4" s="164"/>
      <c r="E4" s="164"/>
      <c r="F4" s="164"/>
      <c r="G4" s="164"/>
      <c r="H4" s="164"/>
      <c r="I4" s="164"/>
      <c r="J4" s="164"/>
      <c r="K4" s="165"/>
    </row>
    <row r="5" spans="1:11" ht="12">
      <c r="A5" s="166">
        <v>1.1</v>
      </c>
      <c r="B5" s="167" t="s">
        <v>197</v>
      </c>
      <c r="C5" s="168"/>
      <c r="D5" s="169"/>
      <c r="E5" s="169"/>
      <c r="F5" s="169"/>
      <c r="G5" s="169"/>
      <c r="H5" s="169"/>
      <c r="I5" s="169"/>
      <c r="J5" s="169"/>
      <c r="K5" s="170"/>
    </row>
    <row r="6" spans="1:11" ht="12">
      <c r="A6" s="171" t="s">
        <v>198</v>
      </c>
      <c r="B6" s="172" t="s">
        <v>199</v>
      </c>
      <c r="C6" s="173" t="s">
        <v>200</v>
      </c>
      <c r="D6" s="401">
        <f>'FLUJO DE CAJA ECON FINANCI'!C17+'FLUJO DE CAJA ECON FINANCI'!D17+'FLUJO DE CAJA ECON FINANCI'!E17+'ESTADO DE GANACIAS Y PERDIDAS'!B38</f>
        <v>8495.826342775475</v>
      </c>
      <c r="E6" s="401">
        <f>'FLUJO DE CAJA ECON FINANCI'!F17+'FLUJO DE CAJA ECON FINANCI'!G17+'FLUJO DE CAJA ECON FINANCI'!H17+'ESTADO DE GANACIAS Y PERDIDAS'!C38</f>
        <v>15130.162342775478</v>
      </c>
      <c r="F6" s="401">
        <f>'FLUJO DE CAJA ECON FINANCI'!I17+'FLUJO DE CAJA ECON FINANCI'!J17+'FLUJO DE CAJA ECON FINANCI'!K17+'ESTADO DE GANACIAS Y PERDIDAS'!D38</f>
        <v>10543.932342775483</v>
      </c>
      <c r="G6" s="401">
        <f>'FLUJO DE CAJA ECON FINANCI'!L17+'FLUJO DE CAJA ECON FINANCI'!M17+'FLUJO DE CAJA ECON FINANCI'!N17+'ESTADO DE GANACIAS Y PERDIDAS'!E38</f>
        <v>18316.652342775484</v>
      </c>
      <c r="H6" s="401">
        <f>'FLUJO DE CAJA ECON FINANCI'!O17+'FLUJO DE CAJA ECON FINANCI'!P17+'FLUJO DE CAJA ECON FINANCI'!Q17+'ESTADO DE GANACIAS Y PERDIDAS'!F38</f>
        <v>8604.644322015802</v>
      </c>
      <c r="I6" s="401">
        <f>'FLUJO DE CAJA ECON FINANCI'!R17+'FLUJO DE CAJA ECON FINANCI'!S17+'FLUJO DE CAJA ECON FINANCI'!T17+'ESTADO DE GANACIAS Y PERDIDAS'!G38</f>
        <v>15143.27510396218</v>
      </c>
      <c r="J6" s="401">
        <f>'FLUJO DE CAJA ECON FINANCI'!U17+'FLUJO DE CAJA ECON FINANCI'!V17+'FLUJO DE CAJA ECON FINANCI'!W17+'ESTADO DE GANACIAS Y PERDIDAS'!H38</f>
        <v>10557.286750361533</v>
      </c>
      <c r="K6" s="401">
        <f>'FLUJO DE CAJA ECON FINANCI'!X17+'FLUJO DE CAJA ECON FINANCI'!Y17+'FLUJO DE CAJA ECON FINANCI'!Z17+'ESTADO DE GANACIAS Y PERDIDAS'!I38</f>
        <v>18330.252849902485</v>
      </c>
    </row>
    <row r="7" spans="1:11" ht="12">
      <c r="A7" s="171"/>
      <c r="B7" s="172" t="s">
        <v>201</v>
      </c>
      <c r="C7" s="173" t="s">
        <v>202</v>
      </c>
      <c r="D7" s="401">
        <f>+('INGRESO POR VENTAS'!C31+'INGRESO POR VENTAS'!D31+'INGRESO POR VENTAS'!E31)*0.05</f>
        <v>5577</v>
      </c>
      <c r="E7" s="401">
        <f>+('INGRESO POR VENTAS'!D31+'INGRESO POR VENTAS'!E31+'INGRESO POR VENTAS'!F31)*0.05</f>
        <v>5764.5</v>
      </c>
      <c r="F7" s="401">
        <f>+('INGRESO POR VENTAS'!E31+'INGRESO POR VENTAS'!F31+'INGRESO POR VENTAS'!G31)*0.05</f>
        <v>6329</v>
      </c>
      <c r="G7" s="401">
        <f>+('INGRESO POR VENTAS'!F31+'INGRESO POR VENTAS'!G31+'INGRESO POR VENTAS'!H31)*0.05</f>
        <v>6879</v>
      </c>
      <c r="H7" s="401">
        <f>+('INGRESO POR VENTAS'!G31+'INGRESO POR VENTAS'!H31+'INGRESO POR VENTAS'!I31)*0.05</f>
        <v>7364</v>
      </c>
      <c r="I7" s="401">
        <f>+('INGRESO POR VENTAS'!H31+'INGRESO POR VENTAS'!I31+'INGRESO POR VENTAS'!J31)*0.05</f>
        <v>6921.5</v>
      </c>
      <c r="J7" s="401">
        <f>+('INGRESO POR VENTAS'!I31+'INGRESO POR VENTAS'!J31+'INGRESO POR VENTAS'!K31)*0.05</f>
        <v>6489</v>
      </c>
      <c r="K7" s="401">
        <f>+('INGRESO POR VENTAS'!J31+'INGRESO POR VENTAS'!K31+'INGRESO POR VENTAS'!L31)*0.05</f>
        <v>6297</v>
      </c>
    </row>
    <row r="8" spans="1:11" ht="12">
      <c r="A8" s="171" t="s">
        <v>203</v>
      </c>
      <c r="B8" s="171" t="s">
        <v>204</v>
      </c>
      <c r="C8" s="174" t="s">
        <v>205</v>
      </c>
      <c r="D8" s="402">
        <f>'PRESUPUESTO DE GASTOS'!B6</f>
        <v>22583.968</v>
      </c>
      <c r="E8" s="402">
        <f>D8</f>
        <v>22583.968</v>
      </c>
      <c r="F8" s="402">
        <f aca="true" t="shared" si="0" ref="F8:K8">E8</f>
        <v>22583.968</v>
      </c>
      <c r="G8" s="402">
        <f t="shared" si="0"/>
        <v>22583.968</v>
      </c>
      <c r="H8" s="402">
        <f t="shared" si="0"/>
        <v>22583.968</v>
      </c>
      <c r="I8" s="402">
        <f t="shared" si="0"/>
        <v>22583.968</v>
      </c>
      <c r="J8" s="402">
        <f t="shared" si="0"/>
        <v>22583.968</v>
      </c>
      <c r="K8" s="402">
        <f t="shared" si="0"/>
        <v>22583.968</v>
      </c>
    </row>
    <row r="9" spans="1:11" ht="12">
      <c r="A9" s="175">
        <v>1.1</v>
      </c>
      <c r="B9" s="176" t="s">
        <v>206</v>
      </c>
      <c r="C9" s="176"/>
      <c r="D9" s="391">
        <f aca="true" t="shared" si="1" ref="D9:K9">SUM(D6:D8)</f>
        <v>36656.79434277548</v>
      </c>
      <c r="E9" s="391">
        <f t="shared" si="1"/>
        <v>43478.630342775476</v>
      </c>
      <c r="F9" s="391">
        <f t="shared" si="1"/>
        <v>39456.90034277548</v>
      </c>
      <c r="G9" s="391">
        <f t="shared" si="1"/>
        <v>47779.62034277548</v>
      </c>
      <c r="H9" s="391">
        <f t="shared" si="1"/>
        <v>38552.612322015804</v>
      </c>
      <c r="I9" s="391">
        <f t="shared" si="1"/>
        <v>44648.74310396218</v>
      </c>
      <c r="J9" s="391">
        <f t="shared" si="1"/>
        <v>39630.254750361535</v>
      </c>
      <c r="K9" s="391">
        <f t="shared" si="1"/>
        <v>47211.220849902485</v>
      </c>
    </row>
    <row r="10" spans="1:11" ht="12">
      <c r="A10" s="177" t="s">
        <v>207</v>
      </c>
      <c r="B10" s="167" t="s">
        <v>208</v>
      </c>
      <c r="C10" s="168"/>
      <c r="D10" s="403"/>
      <c r="E10" s="403"/>
      <c r="F10" s="403"/>
      <c r="G10" s="403"/>
      <c r="H10" s="404"/>
      <c r="I10" s="404"/>
      <c r="J10" s="404"/>
      <c r="K10" s="392"/>
    </row>
    <row r="11" spans="1:11" ht="12">
      <c r="A11" s="171" t="s">
        <v>209</v>
      </c>
      <c r="B11" s="171" t="s">
        <v>210</v>
      </c>
      <c r="C11" s="174" t="s">
        <v>211</v>
      </c>
      <c r="D11" s="402">
        <f>'INVERSION TOTAL'!E35</f>
        <v>37970</v>
      </c>
      <c r="E11" s="402">
        <f>D11</f>
        <v>37970</v>
      </c>
      <c r="F11" s="402">
        <f aca="true" t="shared" si="2" ref="F11:K13">E11</f>
        <v>37970</v>
      </c>
      <c r="G11" s="402">
        <f t="shared" si="2"/>
        <v>37970</v>
      </c>
      <c r="H11" s="402">
        <f t="shared" si="2"/>
        <v>37970</v>
      </c>
      <c r="I11" s="402">
        <f t="shared" si="2"/>
        <v>37970</v>
      </c>
      <c r="J11" s="402">
        <f t="shared" si="2"/>
        <v>37970</v>
      </c>
      <c r="K11" s="402">
        <f t="shared" si="2"/>
        <v>37970</v>
      </c>
    </row>
    <row r="12" spans="1:11" ht="12">
      <c r="A12" s="171" t="s">
        <v>212</v>
      </c>
      <c r="B12" s="171" t="s">
        <v>213</v>
      </c>
      <c r="C12" s="174" t="s">
        <v>214</v>
      </c>
      <c r="D12" s="402">
        <f>'INVERSION TOTAL'!E43</f>
        <v>1580</v>
      </c>
      <c r="E12" s="402">
        <f>D12</f>
        <v>1580</v>
      </c>
      <c r="F12" s="402">
        <f t="shared" si="2"/>
        <v>1580</v>
      </c>
      <c r="G12" s="402">
        <f t="shared" si="2"/>
        <v>1580</v>
      </c>
      <c r="H12" s="402">
        <f t="shared" si="2"/>
        <v>1580</v>
      </c>
      <c r="I12" s="402">
        <f t="shared" si="2"/>
        <v>1580</v>
      </c>
      <c r="J12" s="402">
        <f t="shared" si="2"/>
        <v>1580</v>
      </c>
      <c r="K12" s="402">
        <f t="shared" si="2"/>
        <v>1580</v>
      </c>
    </row>
    <row r="13" spans="1:11" ht="12">
      <c r="A13" s="171" t="s">
        <v>215</v>
      </c>
      <c r="B13" s="171" t="s">
        <v>216</v>
      </c>
      <c r="C13" s="174" t="s">
        <v>217</v>
      </c>
      <c r="D13" s="402">
        <f>DEPRECIACION!H31</f>
        <v>82.95486111111111</v>
      </c>
      <c r="E13" s="402">
        <f>D13</f>
        <v>82.95486111111111</v>
      </c>
      <c r="F13" s="402">
        <f t="shared" si="2"/>
        <v>82.95486111111111</v>
      </c>
      <c r="G13" s="402">
        <f t="shared" si="2"/>
        <v>82.95486111111111</v>
      </c>
      <c r="H13" s="402">
        <f t="shared" si="2"/>
        <v>82.95486111111111</v>
      </c>
      <c r="I13" s="402">
        <f t="shared" si="2"/>
        <v>82.95486111111111</v>
      </c>
      <c r="J13" s="402">
        <f t="shared" si="2"/>
        <v>82.95486111111111</v>
      </c>
      <c r="K13" s="402">
        <f t="shared" si="2"/>
        <v>82.95486111111111</v>
      </c>
    </row>
    <row r="14" spans="1:11" ht="12">
      <c r="A14" s="175">
        <v>1.2</v>
      </c>
      <c r="B14" s="178" t="s">
        <v>218</v>
      </c>
      <c r="C14" s="178"/>
      <c r="D14" s="393">
        <f>(SUM(D11:D12))-D13</f>
        <v>39467.04513888889</v>
      </c>
      <c r="E14" s="393">
        <f aca="true" t="shared" si="3" ref="E14:K14">(SUM(E11:E12))-E13</f>
        <v>39467.04513888889</v>
      </c>
      <c r="F14" s="393">
        <f t="shared" si="3"/>
        <v>39467.04513888889</v>
      </c>
      <c r="G14" s="393">
        <f t="shared" si="3"/>
        <v>39467.04513888889</v>
      </c>
      <c r="H14" s="393">
        <f t="shared" si="3"/>
        <v>39467.04513888889</v>
      </c>
      <c r="I14" s="393">
        <f t="shared" si="3"/>
        <v>39467.04513888889</v>
      </c>
      <c r="J14" s="393">
        <f t="shared" si="3"/>
        <v>39467.04513888889</v>
      </c>
      <c r="K14" s="393">
        <f t="shared" si="3"/>
        <v>39467.04513888889</v>
      </c>
    </row>
    <row r="15" spans="1:11" ht="12">
      <c r="A15" s="179">
        <v>1</v>
      </c>
      <c r="B15" s="180" t="s">
        <v>219</v>
      </c>
      <c r="C15" s="180"/>
      <c r="D15" s="394">
        <f aca="true" t="shared" si="4" ref="D15:K15">D14+D9</f>
        <v>76123.83948166437</v>
      </c>
      <c r="E15" s="394">
        <f t="shared" si="4"/>
        <v>82945.67548166437</v>
      </c>
      <c r="F15" s="394">
        <f t="shared" si="4"/>
        <v>78923.94548166437</v>
      </c>
      <c r="G15" s="394">
        <f t="shared" si="4"/>
        <v>87246.66548166437</v>
      </c>
      <c r="H15" s="394">
        <f t="shared" si="4"/>
        <v>78019.6574609047</v>
      </c>
      <c r="I15" s="394">
        <f t="shared" si="4"/>
        <v>84115.78824285106</v>
      </c>
      <c r="J15" s="394">
        <f t="shared" si="4"/>
        <v>79097.29988925043</v>
      </c>
      <c r="K15" s="394">
        <f t="shared" si="4"/>
        <v>86678.26598879138</v>
      </c>
    </row>
    <row r="16" spans="1:11" ht="12">
      <c r="A16" s="161">
        <v>2</v>
      </c>
      <c r="B16" s="162" t="s">
        <v>220</v>
      </c>
      <c r="C16" s="163"/>
      <c r="D16" s="405"/>
      <c r="E16" s="405"/>
      <c r="F16" s="405"/>
      <c r="G16" s="405"/>
      <c r="H16" s="405"/>
      <c r="I16" s="405"/>
      <c r="J16" s="405"/>
      <c r="K16" s="406"/>
    </row>
    <row r="17" spans="1:16" ht="12">
      <c r="A17" s="166">
        <v>2.1</v>
      </c>
      <c r="B17" s="167" t="s">
        <v>221</v>
      </c>
      <c r="C17" s="168"/>
      <c r="D17" s="404"/>
      <c r="E17" s="404"/>
      <c r="F17" s="404"/>
      <c r="G17" s="404"/>
      <c r="H17" s="404"/>
      <c r="I17" s="404"/>
      <c r="J17" s="404"/>
      <c r="K17" s="392"/>
      <c r="M17" s="105"/>
      <c r="N17" s="105"/>
      <c r="O17" s="105"/>
      <c r="P17" s="105"/>
    </row>
    <row r="18" spans="1:11" ht="12">
      <c r="A18" s="171" t="s">
        <v>222</v>
      </c>
      <c r="B18" s="172" t="s">
        <v>223</v>
      </c>
      <c r="C18" s="173" t="s">
        <v>224</v>
      </c>
      <c r="D18" s="401">
        <f>'ESTADO DE GANACIAS Y PERDIDAS'!B16+'ESTADO DE GANACIAS Y PERDIDAS'!C16+'ESTADO DE GANACIAS Y PERDIDAS'!D16</f>
        <v>481.56523007313353</v>
      </c>
      <c r="E18" s="401">
        <f>'ESTADO DE GANACIAS Y PERDIDAS'!E16+'ESTADO DE GANACIAS Y PERDIDAS'!F16+'ESTADO DE GANACIAS Y PERDIDAS'!G16</f>
        <v>648.3322774679692</v>
      </c>
      <c r="F18" s="401">
        <f>'ESTADO DE GANACIAS Y PERDIDAS'!H16+'ESTADO DE GANACIAS Y PERDIDAS'!I16+'ESTADO DE GANACIAS Y PERDIDAS'!J16</f>
        <v>566.6206697244032</v>
      </c>
      <c r="G18" s="401">
        <f>'ESTADO DE GANACIAS Y PERDIDAS'!K16+'ESTADO DE GANACIAS Y PERDIDAS'!L16+'ESTADO DE GANACIAS Y PERDIDAS'!M16</f>
        <v>761.8811154224097</v>
      </c>
      <c r="H18" s="401">
        <f>'ESTADO DE GANACIAS Y PERDIDAS'!N16+'ESTADO DE GANACIAS Y PERDIDAS'!O16+'ESTADO DE GANACIAS Y PERDIDAS'!P16</f>
        <v>487.91402882857983</v>
      </c>
      <c r="I18" s="401">
        <f>'ESTADO DE GANACIAS Y PERDIDAS'!Q16+'ESTADO DE GANACIAS Y PERDIDAS'!R16+'ESTADO DE GANACIAS Y PERDIDAS'!S16</f>
        <v>652.137430000915</v>
      </c>
      <c r="J18" s="401">
        <f>'ESTADO DE GANACIAS Y PERDIDAS'!T16+'ESTADO DE GANACIAS Y PERDIDAS'!U16+'ESTADO DE GANACIAS Y PERDIDAS'!V16</f>
        <v>570.4959448955541</v>
      </c>
      <c r="K18" s="401">
        <f>'ESTADO DE GANACIAS Y PERDIDAS'!W16+'ESTADO DE GANACIAS Y PERDIDAS'!X16+'ESTADO DE GANACIAS Y PERDIDAS'!Y16</f>
        <v>765.827805475466</v>
      </c>
    </row>
    <row r="19" spans="1:11" ht="24">
      <c r="A19" s="171" t="s">
        <v>225</v>
      </c>
      <c r="B19" s="171" t="s">
        <v>226</v>
      </c>
      <c r="C19" s="181" t="s">
        <v>227</v>
      </c>
      <c r="D19" s="402">
        <v>0</v>
      </c>
      <c r="E19" s="402">
        <v>0</v>
      </c>
      <c r="F19" s="402">
        <v>0</v>
      </c>
      <c r="G19" s="398">
        <v>0</v>
      </c>
      <c r="H19" s="398">
        <v>0</v>
      </c>
      <c r="I19" s="398">
        <v>0</v>
      </c>
      <c r="J19" s="398">
        <v>0</v>
      </c>
      <c r="K19" s="398">
        <v>0</v>
      </c>
    </row>
    <row r="20" spans="1:11" ht="24">
      <c r="A20" s="171" t="s">
        <v>228</v>
      </c>
      <c r="B20" s="171" t="s">
        <v>229</v>
      </c>
      <c r="C20" s="181" t="s">
        <v>230</v>
      </c>
      <c r="D20" s="402">
        <f>+'AMORTIZACION DE CREDITO'!D16+'AMORTIZACION DE CREDITO'!D17+'AMORTIZACION DE CREDITO'!D18</f>
        <v>1972.2828601498672</v>
      </c>
      <c r="E20" s="402">
        <f>+'AMORTIZACION DE CREDITO'!D19+'AMORTIZACION DE CREDITO'!D20+'AMORTIZACION DE CREDITO'!D21</f>
        <v>2008.6287559432976</v>
      </c>
      <c r="F20" s="402">
        <f>+'AMORTIZACION DE CREDITO'!D22+'AMORTIZACION DE CREDITO'!D23+'AMORTIZACION DE CREDITO'!D24</f>
        <v>2045.6444462006543</v>
      </c>
      <c r="G20" s="402">
        <f>+'AMORTIZACION DE CREDITO'!D25+'AMORTIZACION DE CREDITO'!D26+'AMORTIZACION DE CREDITO'!D27</f>
        <v>2083.3422741209197</v>
      </c>
      <c r="H20" s="402">
        <f>+'AMORTIZACION DE CREDITO'!D28+'AMORTIZACION DE CREDITO'!D29+'AMORTIZACION DE CREDITO'!D30</f>
        <v>2121.7348103677195</v>
      </c>
      <c r="I20" s="402">
        <f>+'AMORTIZACION DE CREDITO'!D31+'AMORTIZACION DE CREDITO'!D32+'AMORTIZACION DE CREDITO'!D33</f>
        <v>2160.834857261124</v>
      </c>
      <c r="J20" s="402">
        <f>+'AMORTIZACION DE CREDITO'!D34+'AMORTIZACION DE CREDITO'!D35+'AMORTIZACION DE CREDITO'!D36</f>
        <v>2200.6554530466883</v>
      </c>
      <c r="K20" s="402">
        <f>+'AMORTIZACION DE CREDITO'!D37+'AMORTIZACION DE CREDITO'!D38+'AMORTIZACION DE CREDITO'!D39</f>
        <v>2241.2098762431665</v>
      </c>
    </row>
    <row r="21" spans="1:11" ht="12">
      <c r="A21" s="177">
        <v>2.1</v>
      </c>
      <c r="B21" s="182" t="s">
        <v>231</v>
      </c>
      <c r="C21" s="182"/>
      <c r="D21" s="395">
        <f aca="true" t="shared" si="5" ref="D21:K21">SUM(D18:D20)</f>
        <v>2453.848090223001</v>
      </c>
      <c r="E21" s="395">
        <f t="shared" si="5"/>
        <v>2656.9610334112667</v>
      </c>
      <c r="F21" s="395">
        <f t="shared" si="5"/>
        <v>2612.2651159250577</v>
      </c>
      <c r="G21" s="395">
        <f t="shared" si="5"/>
        <v>2845.223389543329</v>
      </c>
      <c r="H21" s="395">
        <f t="shared" si="5"/>
        <v>2609.6488391962994</v>
      </c>
      <c r="I21" s="395">
        <f t="shared" si="5"/>
        <v>2812.9722872620387</v>
      </c>
      <c r="J21" s="395">
        <f t="shared" si="5"/>
        <v>2771.1513979422425</v>
      </c>
      <c r="K21" s="395">
        <f t="shared" si="5"/>
        <v>3007.0376817186325</v>
      </c>
    </row>
    <row r="22" spans="1:11" ht="12">
      <c r="A22" s="166">
        <v>2.2</v>
      </c>
      <c r="B22" s="167" t="s">
        <v>232</v>
      </c>
      <c r="C22" s="183"/>
      <c r="D22" s="407"/>
      <c r="E22" s="407"/>
      <c r="F22" s="407"/>
      <c r="G22" s="407"/>
      <c r="H22" s="407"/>
      <c r="I22" s="407"/>
      <c r="J22" s="407"/>
      <c r="K22" s="407"/>
    </row>
    <row r="23" spans="1:11" s="88" customFormat="1" ht="24">
      <c r="A23" s="184" t="s">
        <v>233</v>
      </c>
      <c r="B23" s="171" t="s">
        <v>229</v>
      </c>
      <c r="C23" s="181" t="s">
        <v>230</v>
      </c>
      <c r="D23" s="408">
        <f>+'AMORTIZACION DE CREDITO'!C18</f>
        <v>14862.050473183464</v>
      </c>
      <c r="E23" s="408">
        <f>+'AMORTIZACION DE CREDITO'!C21</f>
        <v>12853.421717240168</v>
      </c>
      <c r="F23" s="408">
        <f>+'AMORTIZACION DE CREDITO'!C24</f>
        <v>10807.777271039515</v>
      </c>
      <c r="G23" s="408">
        <f>+'AMORTIZACION DE CREDITO'!C27</f>
        <v>8724.434996918595</v>
      </c>
      <c r="H23" s="408">
        <f>+'AMORTIZACION DE CREDITO'!C30</f>
        <v>6602.7001865508755</v>
      </c>
      <c r="I23" s="408">
        <f>+'AMORTIZACION DE CREDITO'!C33</f>
        <v>4441.865329289751</v>
      </c>
      <c r="J23" s="408">
        <f>+'AMORTIZACION DE CREDITO'!C36</f>
        <v>2241.2098762430624</v>
      </c>
      <c r="K23" s="408">
        <f>+'AMORTIZACION DE CREDITO'!C39</f>
        <v>-1.042508301907219E-10</v>
      </c>
    </row>
    <row r="24" spans="1:11" s="88" customFormat="1" ht="12">
      <c r="A24" s="177">
        <v>2.1</v>
      </c>
      <c r="B24" s="182" t="s">
        <v>234</v>
      </c>
      <c r="C24" s="182"/>
      <c r="D24" s="395">
        <f>D23</f>
        <v>14862.050473183464</v>
      </c>
      <c r="E24" s="395">
        <f aca="true" t="shared" si="6" ref="E24:K24">E23</f>
        <v>12853.421717240168</v>
      </c>
      <c r="F24" s="395">
        <f t="shared" si="6"/>
        <v>10807.777271039515</v>
      </c>
      <c r="G24" s="395">
        <f t="shared" si="6"/>
        <v>8724.434996918595</v>
      </c>
      <c r="H24" s="395">
        <f t="shared" si="6"/>
        <v>6602.7001865508755</v>
      </c>
      <c r="I24" s="395">
        <f t="shared" si="6"/>
        <v>4441.865329289751</v>
      </c>
      <c r="J24" s="395">
        <f t="shared" si="6"/>
        <v>2241.2098762430624</v>
      </c>
      <c r="K24" s="395">
        <f t="shared" si="6"/>
        <v>-1.042508301907219E-10</v>
      </c>
    </row>
    <row r="25" spans="1:11" ht="12">
      <c r="A25" s="175">
        <v>2.3</v>
      </c>
      <c r="B25" s="176" t="s">
        <v>235</v>
      </c>
      <c r="C25" s="176"/>
      <c r="D25" s="391">
        <f>+D21+D24</f>
        <v>17315.898563406467</v>
      </c>
      <c r="E25" s="391">
        <f aca="true" t="shared" si="7" ref="E25:K25">+E21+E24</f>
        <v>15510.382750651435</v>
      </c>
      <c r="F25" s="391">
        <f t="shared" si="7"/>
        <v>13420.042386964573</v>
      </c>
      <c r="G25" s="391">
        <f t="shared" si="7"/>
        <v>11569.658386461924</v>
      </c>
      <c r="H25" s="391">
        <f t="shared" si="7"/>
        <v>9212.349025747175</v>
      </c>
      <c r="I25" s="391">
        <f t="shared" si="7"/>
        <v>7254.837616551789</v>
      </c>
      <c r="J25" s="391">
        <f t="shared" si="7"/>
        <v>5012.361274185305</v>
      </c>
      <c r="K25" s="391">
        <f t="shared" si="7"/>
        <v>3007.0376817185283</v>
      </c>
    </row>
    <row r="26" spans="1:11" ht="12">
      <c r="A26" s="185">
        <v>2.4</v>
      </c>
      <c r="B26" s="186" t="s">
        <v>236</v>
      </c>
      <c r="C26" s="187"/>
      <c r="D26" s="409"/>
      <c r="E26" s="409"/>
      <c r="F26" s="409"/>
      <c r="G26" s="409"/>
      <c r="H26" s="409"/>
      <c r="I26" s="409"/>
      <c r="J26" s="409"/>
      <c r="K26" s="397"/>
    </row>
    <row r="27" spans="1:11" ht="12">
      <c r="A27" s="171" t="s">
        <v>237</v>
      </c>
      <c r="B27" s="172" t="s">
        <v>238</v>
      </c>
      <c r="C27" s="173" t="s">
        <v>239</v>
      </c>
      <c r="D27" s="401">
        <f>FINANCIAMIENTO!D5</f>
        <v>50000</v>
      </c>
      <c r="E27" s="410">
        <f>D27</f>
        <v>50000</v>
      </c>
      <c r="F27" s="410">
        <f aca="true" t="shared" si="8" ref="F27:K27">E27</f>
        <v>50000</v>
      </c>
      <c r="G27" s="410">
        <f t="shared" si="8"/>
        <v>50000</v>
      </c>
      <c r="H27" s="410">
        <f t="shared" si="8"/>
        <v>50000</v>
      </c>
      <c r="I27" s="410">
        <f t="shared" si="8"/>
        <v>50000</v>
      </c>
      <c r="J27" s="410">
        <f t="shared" si="8"/>
        <v>50000</v>
      </c>
      <c r="K27" s="410">
        <f t="shared" si="8"/>
        <v>50000</v>
      </c>
    </row>
    <row r="28" spans="1:11" ht="12">
      <c r="A28" s="171" t="s">
        <v>240</v>
      </c>
      <c r="B28" s="171" t="s">
        <v>241</v>
      </c>
      <c r="C28" s="174" t="s">
        <v>242</v>
      </c>
      <c r="D28" s="402">
        <f>'ESTADO DE GANACIAS Y PERDIDAS'!B17+'ESTADO DE GANACIAS Y PERDIDAS'!C17+'ESTADO DE GANACIAS Y PERDIDAS'!D17</f>
        <v>18781.043972852207</v>
      </c>
      <c r="E28" s="398">
        <f>'ESTADO DE GANACIAS Y PERDIDAS'!E17+'ESTADO DE GANACIAS Y PERDIDAS'!F17+'ESTADO DE GANACIAS Y PERDIDAS'!G17</f>
        <v>25284.958821250802</v>
      </c>
      <c r="F28" s="398">
        <f>'ESTADO DE GANACIAS Y PERDIDAS'!H17+'ESTADO DE GANACIAS Y PERDIDAS'!I17+'ESTADO DE GANACIAS Y PERDIDAS'!J17</f>
        <v>22098.20611925172</v>
      </c>
      <c r="G28" s="398">
        <f>'ESTADO DE GANACIAS Y PERDIDAS'!K17+'ESTADO DE GANACIAS Y PERDIDAS'!L17+'ESTADO DE GANACIAS Y PERDIDAS'!M17</f>
        <v>29713.36350147398</v>
      </c>
      <c r="H28" s="398">
        <f>'ESTADO DE GANACIAS Y PERDIDAS'!N17+'ESTADO DE GANACIAS Y PERDIDAS'!O17+'ESTADO DE GANACIAS Y PERDIDAS'!P17</f>
        <v>19028.64712431461</v>
      </c>
      <c r="I28" s="398">
        <f>'ESTADO DE GANACIAS Y PERDIDAS'!Q17+'ESTADO DE GANACIAS Y PERDIDAS'!R17+'ESTADO DE GANACIAS Y PERDIDAS'!S17</f>
        <v>25433.35977003568</v>
      </c>
      <c r="J28" s="398">
        <f>'ESTADO DE GANACIAS Y PERDIDAS'!T17+'ESTADO DE GANACIAS Y PERDIDAS'!U17+'ESTADO DE GANACIAS Y PERDIDAS'!V17</f>
        <v>22249.341850926605</v>
      </c>
      <c r="K28" s="398">
        <f>'ESTADO DE GANACIAS Y PERDIDAS'!W17+'ESTADO DE GANACIAS Y PERDIDAS'!X17+'ESTADO DE GANACIAS Y PERDIDAS'!Y17</f>
        <v>29867.284413543173</v>
      </c>
    </row>
    <row r="29" spans="1:11" ht="12">
      <c r="A29" s="171"/>
      <c r="B29" s="171"/>
      <c r="C29" s="174"/>
      <c r="D29" s="402"/>
      <c r="E29" s="398"/>
      <c r="F29" s="398"/>
      <c r="G29" s="398"/>
      <c r="H29" s="398"/>
      <c r="I29" s="398"/>
      <c r="J29" s="398"/>
      <c r="K29" s="398"/>
    </row>
    <row r="30" spans="1:11" ht="12">
      <c r="A30" s="175">
        <v>2.4</v>
      </c>
      <c r="B30" s="178" t="s">
        <v>246</v>
      </c>
      <c r="C30" s="178"/>
      <c r="D30" s="393">
        <f>SUM(D27:D29)</f>
        <v>68781.0439728522</v>
      </c>
      <c r="E30" s="393">
        <f aca="true" t="shared" si="9" ref="E30:K30">SUM(E27:E29)</f>
        <v>75284.9588212508</v>
      </c>
      <c r="F30" s="393">
        <f t="shared" si="9"/>
        <v>72098.20611925173</v>
      </c>
      <c r="G30" s="393">
        <f t="shared" si="9"/>
        <v>79713.36350147398</v>
      </c>
      <c r="H30" s="393">
        <f t="shared" si="9"/>
        <v>69028.64712431461</v>
      </c>
      <c r="I30" s="393">
        <f t="shared" si="9"/>
        <v>75433.35977003568</v>
      </c>
      <c r="J30" s="393">
        <f t="shared" si="9"/>
        <v>72249.3418509266</v>
      </c>
      <c r="K30" s="393">
        <f t="shared" si="9"/>
        <v>79867.28441354318</v>
      </c>
    </row>
    <row r="31" spans="1:11" ht="12">
      <c r="A31" s="179">
        <v>2.5</v>
      </c>
      <c r="B31" s="188" t="s">
        <v>247</v>
      </c>
      <c r="C31" s="188"/>
      <c r="D31" s="399">
        <f aca="true" t="shared" si="10" ref="D31:K31">D30+D25</f>
        <v>86096.94253625866</v>
      </c>
      <c r="E31" s="399">
        <f t="shared" si="10"/>
        <v>90795.34157190223</v>
      </c>
      <c r="F31" s="399">
        <f t="shared" si="10"/>
        <v>85518.2485062163</v>
      </c>
      <c r="G31" s="399">
        <f t="shared" si="10"/>
        <v>91283.0218879359</v>
      </c>
      <c r="H31" s="399">
        <f t="shared" si="10"/>
        <v>78240.99615006178</v>
      </c>
      <c r="I31" s="399">
        <f t="shared" si="10"/>
        <v>82688.19738658746</v>
      </c>
      <c r="J31" s="399">
        <f t="shared" si="10"/>
        <v>77261.7031251119</v>
      </c>
      <c r="K31" s="399">
        <f t="shared" si="10"/>
        <v>82874.32209526171</v>
      </c>
    </row>
    <row r="32" spans="4:11" ht="12">
      <c r="D32" s="105"/>
      <c r="E32" s="158"/>
      <c r="F32" s="158"/>
      <c r="G32" s="158"/>
      <c r="H32" s="158"/>
      <c r="I32" s="158"/>
      <c r="J32" s="158"/>
      <c r="K32" s="158"/>
    </row>
    <row r="33" spans="4:11" ht="12">
      <c r="D33" s="158"/>
      <c r="E33" s="158"/>
      <c r="F33" s="158"/>
      <c r="G33" s="158"/>
      <c r="H33" s="158"/>
      <c r="I33" s="158"/>
      <c r="J33" s="158"/>
      <c r="K33" s="158"/>
    </row>
    <row r="34" spans="4:11" ht="12">
      <c r="D34" s="158"/>
      <c r="E34" s="158"/>
      <c r="F34" s="158"/>
      <c r="G34" s="158"/>
      <c r="H34" s="158"/>
      <c r="I34" s="158"/>
      <c r="J34" s="158"/>
      <c r="K34" s="158"/>
    </row>
  </sheetData>
  <sheetProtection/>
  <mergeCells count="2">
    <mergeCell ref="A1:K1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X33"/>
  <sheetViews>
    <sheetView showGridLines="0" zoomScalePageLayoutView="0" workbookViewId="0" topLeftCell="A1">
      <pane xSplit="2" ySplit="3" topLeftCell="M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40" sqref="P40"/>
    </sheetView>
  </sheetViews>
  <sheetFormatPr defaultColWidth="13.7109375" defaultRowHeight="15"/>
  <cols>
    <col min="1" max="1" width="23.28125" style="4" customWidth="1"/>
    <col min="2" max="2" width="11.8515625" style="4" bestFit="1" customWidth="1"/>
    <col min="3" max="3" width="10.421875" style="4" bestFit="1" customWidth="1"/>
    <col min="4" max="26" width="9.7109375" style="4" bestFit="1" customWidth="1"/>
    <col min="27" max="49" width="13.8515625" style="4" hidden="1" customWidth="1"/>
    <col min="50" max="50" width="11.28125" style="4" hidden="1" customWidth="1"/>
    <col min="51" max="16384" width="13.7109375" style="4" customWidth="1"/>
  </cols>
  <sheetData>
    <row r="1" spans="1:15" ht="12">
      <c r="A1" s="63" t="s">
        <v>248</v>
      </c>
      <c r="B1" s="63"/>
      <c r="C1" s="2" t="s">
        <v>496</v>
      </c>
      <c r="D1" s="284">
        <v>0.12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2">
      <c r="A2" s="63"/>
      <c r="B2" s="63"/>
      <c r="C2" s="107" t="s">
        <v>495</v>
      </c>
      <c r="D2" s="285">
        <f>+D1/12</f>
        <v>0.01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50" ht="12">
      <c r="A3" s="141" t="s">
        <v>160</v>
      </c>
      <c r="B3" s="141">
        <v>0</v>
      </c>
      <c r="C3" s="141">
        <v>1</v>
      </c>
      <c r="D3" s="141">
        <v>2</v>
      </c>
      <c r="E3" s="141">
        <v>3</v>
      </c>
      <c r="F3" s="141">
        <v>4</v>
      </c>
      <c r="G3" s="141">
        <v>5</v>
      </c>
      <c r="H3" s="141">
        <v>6</v>
      </c>
      <c r="I3" s="141">
        <v>7</v>
      </c>
      <c r="J3" s="141">
        <v>8</v>
      </c>
      <c r="K3" s="141">
        <v>9</v>
      </c>
      <c r="L3" s="141">
        <v>10</v>
      </c>
      <c r="M3" s="141">
        <v>11</v>
      </c>
      <c r="N3" s="141">
        <v>12</v>
      </c>
      <c r="O3" s="141">
        <v>13</v>
      </c>
      <c r="P3" s="141">
        <v>14</v>
      </c>
      <c r="Q3" s="141">
        <v>15</v>
      </c>
      <c r="R3" s="141">
        <v>16</v>
      </c>
      <c r="S3" s="141">
        <v>17</v>
      </c>
      <c r="T3" s="141">
        <v>18</v>
      </c>
      <c r="U3" s="141">
        <v>19</v>
      </c>
      <c r="V3" s="141">
        <v>20</v>
      </c>
      <c r="W3" s="141">
        <v>21</v>
      </c>
      <c r="X3" s="141">
        <v>22</v>
      </c>
      <c r="Y3" s="141">
        <v>23</v>
      </c>
      <c r="Z3" s="141">
        <v>24</v>
      </c>
      <c r="AA3" s="141">
        <v>1</v>
      </c>
      <c r="AB3" s="141">
        <v>2</v>
      </c>
      <c r="AC3" s="141">
        <v>3</v>
      </c>
      <c r="AD3" s="141">
        <v>4</v>
      </c>
      <c r="AE3" s="141">
        <v>5</v>
      </c>
      <c r="AF3" s="141">
        <v>6</v>
      </c>
      <c r="AG3" s="141">
        <v>7</v>
      </c>
      <c r="AH3" s="141">
        <v>8</v>
      </c>
      <c r="AI3" s="141">
        <v>9</v>
      </c>
      <c r="AJ3" s="141">
        <v>10</v>
      </c>
      <c r="AK3" s="141">
        <v>11</v>
      </c>
      <c r="AL3" s="141">
        <v>12</v>
      </c>
      <c r="AM3" s="141">
        <v>13</v>
      </c>
      <c r="AN3" s="141">
        <v>14</v>
      </c>
      <c r="AO3" s="141">
        <v>15</v>
      </c>
      <c r="AP3" s="141">
        <v>16</v>
      </c>
      <c r="AQ3" s="141">
        <v>17</v>
      </c>
      <c r="AR3" s="141">
        <v>18</v>
      </c>
      <c r="AS3" s="141">
        <v>19</v>
      </c>
      <c r="AT3" s="141">
        <v>20</v>
      </c>
      <c r="AU3" s="141">
        <v>21</v>
      </c>
      <c r="AV3" s="141">
        <v>22</v>
      </c>
      <c r="AW3" s="141">
        <v>23</v>
      </c>
      <c r="AX3" s="141">
        <v>24</v>
      </c>
    </row>
    <row r="4" spans="1:50" ht="12">
      <c r="A4" s="189" t="s">
        <v>249</v>
      </c>
      <c r="B4" s="310"/>
      <c r="C4" s="311">
        <f>'ESTADO DE GANACIAS Y PERDIDAS'!B4</f>
        <v>37490</v>
      </c>
      <c r="D4" s="311">
        <f>'ESTADO DE GANACIAS Y PERDIDAS'!C4</f>
        <v>37400</v>
      </c>
      <c r="E4" s="311">
        <f>'ESTADO DE GANACIAS Y PERDIDAS'!D4</f>
        <v>36650</v>
      </c>
      <c r="F4" s="311">
        <f>'ESTADO DE GANACIAS Y PERDIDAS'!E4</f>
        <v>41240</v>
      </c>
      <c r="G4" s="311">
        <f>'ESTADO DE GANACIAS Y PERDIDAS'!F4</f>
        <v>48690</v>
      </c>
      <c r="H4" s="311">
        <f>'ESTADO DE GANACIAS Y PERDIDAS'!G4</f>
        <v>47650</v>
      </c>
      <c r="I4" s="311">
        <f>'ESTADO DE GANACIAS Y PERDIDAS'!H4</f>
        <v>50940</v>
      </c>
      <c r="J4" s="311">
        <f>'ESTADO DE GANACIAS Y PERDIDAS'!I4</f>
        <v>39840</v>
      </c>
      <c r="K4" s="311">
        <f>'ESTADO DE GANACIAS Y PERDIDAS'!J4</f>
        <v>39000</v>
      </c>
      <c r="L4" s="311">
        <f>'ESTADO DE GANACIAS Y PERDIDAS'!K4</f>
        <v>47100</v>
      </c>
      <c r="M4" s="311">
        <f>'ESTADO DE GANACIAS Y PERDIDAS'!L4</f>
        <v>53050</v>
      </c>
      <c r="N4" s="311">
        <f>'ESTADO DE GANACIAS Y PERDIDAS'!M4</f>
        <v>54550</v>
      </c>
      <c r="O4" s="311">
        <f>'ESTADO DE GANACIAS Y PERDIDAS'!N4</f>
        <v>37490</v>
      </c>
      <c r="P4" s="311">
        <f>'ESTADO DE GANACIAS Y PERDIDAS'!O4</f>
        <v>37400</v>
      </c>
      <c r="Q4" s="311">
        <f>'ESTADO DE GANACIAS Y PERDIDAS'!P4</f>
        <v>36650</v>
      </c>
      <c r="R4" s="311">
        <f>'ESTADO DE GANACIAS Y PERDIDAS'!Q4</f>
        <v>41240</v>
      </c>
      <c r="S4" s="311">
        <f>'ESTADO DE GANACIAS Y PERDIDAS'!R4</f>
        <v>48690</v>
      </c>
      <c r="T4" s="311">
        <f>'ESTADO DE GANACIAS Y PERDIDAS'!S4</f>
        <v>47650</v>
      </c>
      <c r="U4" s="311">
        <f>'ESTADO DE GANACIAS Y PERDIDAS'!T4</f>
        <v>50940</v>
      </c>
      <c r="V4" s="311">
        <f>'ESTADO DE GANACIAS Y PERDIDAS'!U4</f>
        <v>39840</v>
      </c>
      <c r="W4" s="311">
        <f>'ESTADO DE GANACIAS Y PERDIDAS'!V4</f>
        <v>39000</v>
      </c>
      <c r="X4" s="311">
        <f>'ESTADO DE GANACIAS Y PERDIDAS'!W4</f>
        <v>47100</v>
      </c>
      <c r="Y4" s="311">
        <f>'ESTADO DE GANACIAS Y PERDIDAS'!X4</f>
        <v>53050</v>
      </c>
      <c r="Z4" s="311">
        <f>'ESTADO DE GANACIAS Y PERDIDAS'!Y4</f>
        <v>54550</v>
      </c>
      <c r="AA4" s="102">
        <f>Z4</f>
        <v>54550</v>
      </c>
      <c r="AB4" s="102">
        <f>AA4</f>
        <v>54550</v>
      </c>
      <c r="AC4" s="102">
        <f aca="true" t="shared" si="0" ref="AC4:AX4">AB4</f>
        <v>54550</v>
      </c>
      <c r="AD4" s="102">
        <f t="shared" si="0"/>
        <v>54550</v>
      </c>
      <c r="AE4" s="102">
        <f t="shared" si="0"/>
        <v>54550</v>
      </c>
      <c r="AF4" s="102">
        <f t="shared" si="0"/>
        <v>54550</v>
      </c>
      <c r="AG4" s="102">
        <f t="shared" si="0"/>
        <v>54550</v>
      </c>
      <c r="AH4" s="102">
        <f t="shared" si="0"/>
        <v>54550</v>
      </c>
      <c r="AI4" s="102">
        <f t="shared" si="0"/>
        <v>54550</v>
      </c>
      <c r="AJ4" s="102">
        <f t="shared" si="0"/>
        <v>54550</v>
      </c>
      <c r="AK4" s="102">
        <f t="shared" si="0"/>
        <v>54550</v>
      </c>
      <c r="AL4" s="102">
        <f t="shared" si="0"/>
        <v>54550</v>
      </c>
      <c r="AM4" s="102">
        <f t="shared" si="0"/>
        <v>54550</v>
      </c>
      <c r="AN4" s="102">
        <f t="shared" si="0"/>
        <v>54550</v>
      </c>
      <c r="AO4" s="102">
        <f t="shared" si="0"/>
        <v>54550</v>
      </c>
      <c r="AP4" s="102">
        <f t="shared" si="0"/>
        <v>54550</v>
      </c>
      <c r="AQ4" s="102">
        <f t="shared" si="0"/>
        <v>54550</v>
      </c>
      <c r="AR4" s="102">
        <f t="shared" si="0"/>
        <v>54550</v>
      </c>
      <c r="AS4" s="102">
        <f t="shared" si="0"/>
        <v>54550</v>
      </c>
      <c r="AT4" s="102">
        <f t="shared" si="0"/>
        <v>54550</v>
      </c>
      <c r="AU4" s="102">
        <f t="shared" si="0"/>
        <v>54550</v>
      </c>
      <c r="AV4" s="102">
        <f t="shared" si="0"/>
        <v>54550</v>
      </c>
      <c r="AW4" s="102">
        <f t="shared" si="0"/>
        <v>54550</v>
      </c>
      <c r="AX4" s="102">
        <f t="shared" si="0"/>
        <v>54550</v>
      </c>
    </row>
    <row r="5" spans="1:50" ht="12">
      <c r="A5" s="189"/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ht="12">
      <c r="A6" s="189" t="s">
        <v>250</v>
      </c>
      <c r="B6" s="310">
        <f>B7+B8+B9+B10</f>
        <v>50000</v>
      </c>
      <c r="C6" s="311">
        <f aca="true" t="shared" si="1" ref="C6:Z6">C7+C8+C9+C10</f>
        <v>33632.37772222222</v>
      </c>
      <c r="D6" s="311">
        <f t="shared" si="1"/>
        <v>33777.68172222222</v>
      </c>
      <c r="E6" s="311">
        <f t="shared" si="1"/>
        <v>33365.48172222222</v>
      </c>
      <c r="F6" s="311">
        <f t="shared" si="1"/>
        <v>36558.24172222222</v>
      </c>
      <c r="G6" s="311">
        <f t="shared" si="1"/>
        <v>41987.88172222222</v>
      </c>
      <c r="H6" s="311">
        <f t="shared" si="1"/>
        <v>41635.08172222222</v>
      </c>
      <c r="I6" s="311">
        <f t="shared" si="1"/>
        <v>47334.23172222222</v>
      </c>
      <c r="J6" s="311">
        <f t="shared" si="1"/>
        <v>35000.08172222222</v>
      </c>
      <c r="K6" s="311">
        <f t="shared" si="1"/>
        <v>34633.12172222222</v>
      </c>
      <c r="L6" s="311">
        <f t="shared" si="1"/>
        <v>40433.12172222222</v>
      </c>
      <c r="M6" s="311">
        <f t="shared" si="1"/>
        <v>44354.72172222222</v>
      </c>
      <c r="N6" s="311">
        <f t="shared" si="1"/>
        <v>49326.87172222222</v>
      </c>
      <c r="O6" s="311">
        <f t="shared" si="1"/>
        <v>33565.87772222222</v>
      </c>
      <c r="P6" s="311">
        <f t="shared" si="1"/>
        <v>33739.68172222222</v>
      </c>
      <c r="Q6" s="311">
        <f t="shared" si="1"/>
        <v>33365.48172222222</v>
      </c>
      <c r="R6" s="311">
        <f t="shared" si="1"/>
        <v>36558.24172222222</v>
      </c>
      <c r="S6" s="311">
        <f t="shared" si="1"/>
        <v>41987.88172222222</v>
      </c>
      <c r="T6" s="311">
        <f t="shared" si="1"/>
        <v>41635.08172222222</v>
      </c>
      <c r="U6" s="311">
        <f t="shared" si="1"/>
        <v>47334.23172222222</v>
      </c>
      <c r="V6" s="311">
        <f t="shared" si="1"/>
        <v>35000.08172222222</v>
      </c>
      <c r="W6" s="311">
        <f t="shared" si="1"/>
        <v>34633.12172222222</v>
      </c>
      <c r="X6" s="311">
        <f t="shared" si="1"/>
        <v>40433.12172222222</v>
      </c>
      <c r="Y6" s="311">
        <f t="shared" si="1"/>
        <v>44354.72172222222</v>
      </c>
      <c r="Z6" s="311">
        <f t="shared" si="1"/>
        <v>49326.87172222222</v>
      </c>
      <c r="AA6" s="19">
        <v>14699.75</v>
      </c>
      <c r="AB6" s="19">
        <v>14699.75</v>
      </c>
      <c r="AC6" s="19">
        <v>14699.75</v>
      </c>
      <c r="AD6" s="19">
        <v>14699.75</v>
      </c>
      <c r="AE6" s="19">
        <v>14699.75</v>
      </c>
      <c r="AF6" s="19">
        <v>14699.75</v>
      </c>
      <c r="AG6" s="19">
        <v>22874.75</v>
      </c>
      <c r="AH6" s="19">
        <v>14699.75</v>
      </c>
      <c r="AI6" s="19">
        <v>14699.75</v>
      </c>
      <c r="AJ6" s="19">
        <v>14699.75</v>
      </c>
      <c r="AK6" s="19">
        <v>14699.75</v>
      </c>
      <c r="AL6" s="19">
        <v>22874.75</v>
      </c>
      <c r="AM6" s="19">
        <v>14699.75</v>
      </c>
      <c r="AN6" s="19">
        <v>14699.75</v>
      </c>
      <c r="AO6" s="19">
        <v>14699.75</v>
      </c>
      <c r="AP6" s="19">
        <v>14699.75</v>
      </c>
      <c r="AQ6" s="19">
        <v>14699.75</v>
      </c>
      <c r="AR6" s="19">
        <v>14699.75</v>
      </c>
      <c r="AS6" s="19">
        <v>22874.75</v>
      </c>
      <c r="AT6" s="19">
        <v>14699.75</v>
      </c>
      <c r="AU6" s="19">
        <v>14699.75</v>
      </c>
      <c r="AV6" s="19">
        <v>14699.75</v>
      </c>
      <c r="AW6" s="19">
        <v>14699.75</v>
      </c>
      <c r="AX6" s="19">
        <v>22874.75</v>
      </c>
    </row>
    <row r="7" spans="1:50" ht="12">
      <c r="A7" s="189" t="s">
        <v>251</v>
      </c>
      <c r="B7" s="313">
        <f>+FINANCIAMIENTO!D5</f>
        <v>50000</v>
      </c>
      <c r="C7" s="312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 ht="12">
      <c r="A8" s="144" t="s">
        <v>252</v>
      </c>
      <c r="B8" s="313"/>
      <c r="C8" s="314">
        <f>'PRESUPUESTO DE GASTOS'!B4</f>
        <v>30617.92286111111</v>
      </c>
      <c r="D8" s="314">
        <f>'PRESUPUESTO DE GASTOS'!C4</f>
        <v>30763.226861111114</v>
      </c>
      <c r="E8" s="314">
        <f>'PRESUPUESTO DE GASTOS'!D4</f>
        <v>30351.02686111111</v>
      </c>
      <c r="F8" s="314">
        <f>'PRESUPUESTO DE GASTOS'!E4</f>
        <v>33543.78686111111</v>
      </c>
      <c r="G8" s="314">
        <f>'PRESUPUESTO DE GASTOS'!F4</f>
        <v>38973.42686111111</v>
      </c>
      <c r="H8" s="314">
        <f>'PRESUPUESTO DE GASTOS'!G4</f>
        <v>38620.62686111111</v>
      </c>
      <c r="I8" s="314">
        <f>'PRESUPUESTO DE GASTOS'!H4</f>
        <v>43039.02686111111</v>
      </c>
      <c r="J8" s="314">
        <f>'PRESUPUESTO DE GASTOS'!I4</f>
        <v>31985.626861111108</v>
      </c>
      <c r="K8" s="314">
        <f>'PRESUPUESTO DE GASTOS'!J4</f>
        <v>31618.66686111111</v>
      </c>
      <c r="L8" s="314">
        <f>'PRESUPUESTO DE GASTOS'!K4</f>
        <v>37418.66686111111</v>
      </c>
      <c r="M8" s="314">
        <f>'PRESUPUESTO DE GASTOS'!L4</f>
        <v>41340.26686111111</v>
      </c>
      <c r="N8" s="314">
        <f>'PRESUPUESTO DE GASTOS'!M4</f>
        <v>45031.66686111111</v>
      </c>
      <c r="O8" s="314">
        <f>'PRESUPUESTO DE GASTOS'!N4</f>
        <v>30551.42286111111</v>
      </c>
      <c r="P8" s="314">
        <f>'PRESUPUESTO DE GASTOS'!O4</f>
        <v>30725.226861111114</v>
      </c>
      <c r="Q8" s="314">
        <f>'PRESUPUESTO DE GASTOS'!P4</f>
        <v>30351.02686111111</v>
      </c>
      <c r="R8" s="314">
        <f>'PRESUPUESTO DE GASTOS'!Q4</f>
        <v>33543.78686111111</v>
      </c>
      <c r="S8" s="314">
        <f>'PRESUPUESTO DE GASTOS'!R4</f>
        <v>38973.42686111111</v>
      </c>
      <c r="T8" s="314">
        <f>'PRESUPUESTO DE GASTOS'!S4</f>
        <v>38620.62686111111</v>
      </c>
      <c r="U8" s="314">
        <f>'PRESUPUESTO DE GASTOS'!T4</f>
        <v>43039.02686111111</v>
      </c>
      <c r="V8" s="314">
        <f>'PRESUPUESTO DE GASTOS'!U4</f>
        <v>31985.626861111108</v>
      </c>
      <c r="W8" s="314">
        <f>'PRESUPUESTO DE GASTOS'!V4</f>
        <v>31618.66686111111</v>
      </c>
      <c r="X8" s="314">
        <f>'PRESUPUESTO DE GASTOS'!W4</f>
        <v>37418.66686111111</v>
      </c>
      <c r="Y8" s="314">
        <f>'PRESUPUESTO DE GASTOS'!X4</f>
        <v>41340.26686111111</v>
      </c>
      <c r="Z8" s="314">
        <f>'PRESUPUESTO DE GASTOS'!Y4</f>
        <v>45031.66686111111</v>
      </c>
      <c r="AA8" s="19">
        <v>11470</v>
      </c>
      <c r="AB8" s="19">
        <v>11470</v>
      </c>
      <c r="AC8" s="19">
        <v>11470</v>
      </c>
      <c r="AD8" s="19">
        <v>11470</v>
      </c>
      <c r="AE8" s="19">
        <v>11470</v>
      </c>
      <c r="AF8" s="19">
        <v>11470</v>
      </c>
      <c r="AG8" s="19">
        <v>18010</v>
      </c>
      <c r="AH8" s="19">
        <v>11470</v>
      </c>
      <c r="AI8" s="19">
        <v>11470</v>
      </c>
      <c r="AJ8" s="19">
        <v>11470</v>
      </c>
      <c r="AK8" s="19">
        <v>11470</v>
      </c>
      <c r="AL8" s="19">
        <v>18010</v>
      </c>
      <c r="AM8" s="19">
        <v>11470</v>
      </c>
      <c r="AN8" s="19">
        <v>11470</v>
      </c>
      <c r="AO8" s="19">
        <v>11470</v>
      </c>
      <c r="AP8" s="19">
        <v>11470</v>
      </c>
      <c r="AQ8" s="19">
        <v>11470</v>
      </c>
      <c r="AR8" s="19">
        <v>11470</v>
      </c>
      <c r="AS8" s="19">
        <v>18010</v>
      </c>
      <c r="AT8" s="19">
        <v>11470</v>
      </c>
      <c r="AU8" s="19">
        <v>11470</v>
      </c>
      <c r="AV8" s="19">
        <v>11470</v>
      </c>
      <c r="AW8" s="19">
        <v>11470</v>
      </c>
      <c r="AX8" s="19">
        <v>18010</v>
      </c>
    </row>
    <row r="9" spans="1:50" ht="12">
      <c r="A9" s="144" t="s">
        <v>253</v>
      </c>
      <c r="B9" s="313"/>
      <c r="C9" s="314">
        <f>'PRESUPUESTO DE GASTOS'!B46</f>
        <v>370</v>
      </c>
      <c r="D9" s="314">
        <f>'PRESUPUESTO DE GASTOS'!C46</f>
        <v>370</v>
      </c>
      <c r="E9" s="314">
        <f>'PRESUPUESTO DE GASTOS'!D46</f>
        <v>370</v>
      </c>
      <c r="F9" s="314">
        <f>'PRESUPUESTO DE GASTOS'!E46</f>
        <v>370</v>
      </c>
      <c r="G9" s="314">
        <f>'PRESUPUESTO DE GASTOS'!F46</f>
        <v>370</v>
      </c>
      <c r="H9" s="314">
        <f>'PRESUPUESTO DE GASTOS'!G46</f>
        <v>370</v>
      </c>
      <c r="I9" s="314">
        <f>'PRESUPUESTO DE GASTOS'!H46</f>
        <v>370</v>
      </c>
      <c r="J9" s="314">
        <f>'PRESUPUESTO DE GASTOS'!I46</f>
        <v>370</v>
      </c>
      <c r="K9" s="314">
        <f>'PRESUPUESTO DE GASTOS'!J46</f>
        <v>370</v>
      </c>
      <c r="L9" s="314">
        <f>'PRESUPUESTO DE GASTOS'!K46</f>
        <v>370</v>
      </c>
      <c r="M9" s="314">
        <f>'PRESUPUESTO DE GASTOS'!L46</f>
        <v>370</v>
      </c>
      <c r="N9" s="314">
        <f>'PRESUPUESTO DE GASTOS'!M46</f>
        <v>370</v>
      </c>
      <c r="O9" s="314">
        <f>'PRESUPUESTO DE GASTOS'!N46</f>
        <v>370</v>
      </c>
      <c r="P9" s="314">
        <f>'PRESUPUESTO DE GASTOS'!O46</f>
        <v>370</v>
      </c>
      <c r="Q9" s="314">
        <f>'PRESUPUESTO DE GASTOS'!P46</f>
        <v>370</v>
      </c>
      <c r="R9" s="314">
        <f>'PRESUPUESTO DE GASTOS'!Q46</f>
        <v>370</v>
      </c>
      <c r="S9" s="314">
        <f>'PRESUPUESTO DE GASTOS'!R46</f>
        <v>370</v>
      </c>
      <c r="T9" s="314">
        <f>'PRESUPUESTO DE GASTOS'!S46</f>
        <v>370</v>
      </c>
      <c r="U9" s="314">
        <f>'PRESUPUESTO DE GASTOS'!T46</f>
        <v>370</v>
      </c>
      <c r="V9" s="314">
        <f>'PRESUPUESTO DE GASTOS'!U46</f>
        <v>370</v>
      </c>
      <c r="W9" s="314">
        <f>'PRESUPUESTO DE GASTOS'!V46</f>
        <v>370</v>
      </c>
      <c r="X9" s="314">
        <f>'PRESUPUESTO DE GASTOS'!W46</f>
        <v>370</v>
      </c>
      <c r="Y9" s="314">
        <f>'PRESUPUESTO DE GASTOS'!X46</f>
        <v>370</v>
      </c>
      <c r="Z9" s="314">
        <f>'PRESUPUESTO DE GASTOS'!Y46</f>
        <v>370</v>
      </c>
      <c r="AA9" s="19">
        <v>1250</v>
      </c>
      <c r="AB9" s="19">
        <v>1250</v>
      </c>
      <c r="AC9" s="19">
        <v>1250</v>
      </c>
      <c r="AD9" s="19">
        <v>1250</v>
      </c>
      <c r="AE9" s="19">
        <v>1250</v>
      </c>
      <c r="AF9" s="19">
        <v>1250</v>
      </c>
      <c r="AG9" s="19">
        <v>1250</v>
      </c>
      <c r="AH9" s="19">
        <v>1250</v>
      </c>
      <c r="AI9" s="19">
        <v>1250</v>
      </c>
      <c r="AJ9" s="19">
        <v>1250</v>
      </c>
      <c r="AK9" s="19">
        <v>1250</v>
      </c>
      <c r="AL9" s="19">
        <v>1250</v>
      </c>
      <c r="AM9" s="19">
        <v>1250</v>
      </c>
      <c r="AN9" s="19">
        <v>1250</v>
      </c>
      <c r="AO9" s="19">
        <v>1250</v>
      </c>
      <c r="AP9" s="19">
        <v>1250</v>
      </c>
      <c r="AQ9" s="19">
        <v>1250</v>
      </c>
      <c r="AR9" s="19">
        <v>1250</v>
      </c>
      <c r="AS9" s="19">
        <v>1250</v>
      </c>
      <c r="AT9" s="19">
        <v>1250</v>
      </c>
      <c r="AU9" s="19">
        <v>1250</v>
      </c>
      <c r="AV9" s="19">
        <v>1250</v>
      </c>
      <c r="AW9" s="19">
        <v>1250</v>
      </c>
      <c r="AX9" s="19">
        <v>1250</v>
      </c>
    </row>
    <row r="10" spans="1:50" ht="12">
      <c r="A10" s="144" t="s">
        <v>254</v>
      </c>
      <c r="B10" s="313"/>
      <c r="C10" s="314">
        <f>'PRESUPUESTO DE GASTOS'!B51</f>
        <v>2644.4548611111113</v>
      </c>
      <c r="D10" s="314">
        <f>'PRESUPUESTO DE GASTOS'!C51</f>
        <v>2644.4548611111113</v>
      </c>
      <c r="E10" s="314">
        <f>'PRESUPUESTO DE GASTOS'!D51</f>
        <v>2644.4548611111113</v>
      </c>
      <c r="F10" s="314">
        <f>'PRESUPUESTO DE GASTOS'!E51</f>
        <v>2644.4548611111113</v>
      </c>
      <c r="G10" s="314">
        <f>'PRESUPUESTO DE GASTOS'!F51</f>
        <v>2644.4548611111113</v>
      </c>
      <c r="H10" s="314">
        <f>'PRESUPUESTO DE GASTOS'!G51</f>
        <v>2644.4548611111113</v>
      </c>
      <c r="I10" s="314">
        <f>'PRESUPUESTO DE GASTOS'!H51</f>
        <v>3925.2048611111113</v>
      </c>
      <c r="J10" s="314">
        <f>'PRESUPUESTO DE GASTOS'!I51</f>
        <v>2644.4548611111113</v>
      </c>
      <c r="K10" s="314">
        <f>'PRESUPUESTO DE GASTOS'!J51</f>
        <v>2644.4548611111113</v>
      </c>
      <c r="L10" s="314">
        <f>'PRESUPUESTO DE GASTOS'!K51</f>
        <v>2644.4548611111113</v>
      </c>
      <c r="M10" s="314">
        <f>'PRESUPUESTO DE GASTOS'!L51</f>
        <v>2644.4548611111113</v>
      </c>
      <c r="N10" s="314">
        <f>'PRESUPUESTO DE GASTOS'!M51</f>
        <v>3925.2048611111113</v>
      </c>
      <c r="O10" s="314">
        <f>'PRESUPUESTO DE GASTOS'!N51</f>
        <v>2644.4548611111113</v>
      </c>
      <c r="P10" s="314">
        <f>'PRESUPUESTO DE GASTOS'!O51</f>
        <v>2644.4548611111113</v>
      </c>
      <c r="Q10" s="314">
        <f>'PRESUPUESTO DE GASTOS'!P51</f>
        <v>2644.4548611111113</v>
      </c>
      <c r="R10" s="314">
        <f>'PRESUPUESTO DE GASTOS'!Q51</f>
        <v>2644.4548611111113</v>
      </c>
      <c r="S10" s="314">
        <f>'PRESUPUESTO DE GASTOS'!R51</f>
        <v>2644.4548611111113</v>
      </c>
      <c r="T10" s="314">
        <f>'PRESUPUESTO DE GASTOS'!S51</f>
        <v>2644.4548611111113</v>
      </c>
      <c r="U10" s="314">
        <f>'PRESUPUESTO DE GASTOS'!T51</f>
        <v>3925.2048611111113</v>
      </c>
      <c r="V10" s="314">
        <f>'PRESUPUESTO DE GASTOS'!U51</f>
        <v>2644.4548611111113</v>
      </c>
      <c r="W10" s="314">
        <f>'PRESUPUESTO DE GASTOS'!V51</f>
        <v>2644.4548611111113</v>
      </c>
      <c r="X10" s="314">
        <f>'PRESUPUESTO DE GASTOS'!W51</f>
        <v>2644.4548611111113</v>
      </c>
      <c r="Y10" s="314">
        <f>'PRESUPUESTO DE GASTOS'!X51</f>
        <v>2644.4548611111113</v>
      </c>
      <c r="Z10" s="314">
        <f>'PRESUPUESTO DE GASTOS'!Y51</f>
        <v>3925.2048611111113</v>
      </c>
      <c r="AA10" s="19">
        <v>1979.75</v>
      </c>
      <c r="AB10" s="19">
        <v>1979.75</v>
      </c>
      <c r="AC10" s="19">
        <v>1979.75</v>
      </c>
      <c r="AD10" s="19">
        <v>1979.75</v>
      </c>
      <c r="AE10" s="19">
        <v>1979.75</v>
      </c>
      <c r="AF10" s="19">
        <v>1979.75</v>
      </c>
      <c r="AG10" s="19">
        <v>3614.75</v>
      </c>
      <c r="AH10" s="19">
        <v>1979.75</v>
      </c>
      <c r="AI10" s="19">
        <v>1979.75</v>
      </c>
      <c r="AJ10" s="19">
        <v>1979.75</v>
      </c>
      <c r="AK10" s="19">
        <v>1979.75</v>
      </c>
      <c r="AL10" s="19">
        <v>3614.75</v>
      </c>
      <c r="AM10" s="19">
        <v>1979.75</v>
      </c>
      <c r="AN10" s="19">
        <v>1979.75</v>
      </c>
      <c r="AO10" s="19">
        <v>1979.75</v>
      </c>
      <c r="AP10" s="19">
        <v>1979.75</v>
      </c>
      <c r="AQ10" s="19">
        <v>1979.75</v>
      </c>
      <c r="AR10" s="19">
        <v>1979.75</v>
      </c>
      <c r="AS10" s="19">
        <v>3614.75</v>
      </c>
      <c r="AT10" s="19">
        <v>1979.75</v>
      </c>
      <c r="AU10" s="19">
        <v>1979.75</v>
      </c>
      <c r="AV10" s="19">
        <v>1979.75</v>
      </c>
      <c r="AW10" s="19">
        <v>1979.75</v>
      </c>
      <c r="AX10" s="19">
        <v>3614.75</v>
      </c>
    </row>
    <row r="11" spans="1:26" ht="12">
      <c r="A11" s="189"/>
      <c r="B11" s="310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</row>
    <row r="12" spans="1:50" ht="12">
      <c r="A12" s="190" t="s">
        <v>255</v>
      </c>
      <c r="B12" s="315">
        <f>B4-B6</f>
        <v>-50000</v>
      </c>
      <c r="C12" s="315">
        <f aca="true" t="shared" si="2" ref="C12:Z12">C4-C6</f>
        <v>3857.6222777777803</v>
      </c>
      <c r="D12" s="315">
        <f t="shared" si="2"/>
        <v>3622.3182777777765</v>
      </c>
      <c r="E12" s="315">
        <f t="shared" si="2"/>
        <v>3284.518277777781</v>
      </c>
      <c r="F12" s="315">
        <f t="shared" si="2"/>
        <v>4681.758277777779</v>
      </c>
      <c r="G12" s="315">
        <f t="shared" si="2"/>
        <v>6702.118277777779</v>
      </c>
      <c r="H12" s="315">
        <f t="shared" si="2"/>
        <v>6014.918277777782</v>
      </c>
      <c r="I12" s="315">
        <f t="shared" si="2"/>
        <v>3605.768277777781</v>
      </c>
      <c r="J12" s="315">
        <f t="shared" si="2"/>
        <v>4839.918277777782</v>
      </c>
      <c r="K12" s="315">
        <f t="shared" si="2"/>
        <v>4366.8782777777815</v>
      </c>
      <c r="L12" s="315">
        <f t="shared" si="2"/>
        <v>6666.8782777777815</v>
      </c>
      <c r="M12" s="315">
        <f t="shared" si="2"/>
        <v>8695.278277777783</v>
      </c>
      <c r="N12" s="315">
        <f t="shared" si="2"/>
        <v>5223.1282777777815</v>
      </c>
      <c r="O12" s="315">
        <f t="shared" si="2"/>
        <v>3924.1222777777803</v>
      </c>
      <c r="P12" s="315">
        <f t="shared" si="2"/>
        <v>3660.3182777777765</v>
      </c>
      <c r="Q12" s="315">
        <f t="shared" si="2"/>
        <v>3284.518277777781</v>
      </c>
      <c r="R12" s="315">
        <f t="shared" si="2"/>
        <v>4681.758277777779</v>
      </c>
      <c r="S12" s="315">
        <f t="shared" si="2"/>
        <v>6702.118277777779</v>
      </c>
      <c r="T12" s="315">
        <f t="shared" si="2"/>
        <v>6014.918277777782</v>
      </c>
      <c r="U12" s="315">
        <f t="shared" si="2"/>
        <v>3605.768277777781</v>
      </c>
      <c r="V12" s="315">
        <f t="shared" si="2"/>
        <v>4839.918277777782</v>
      </c>
      <c r="W12" s="315">
        <f t="shared" si="2"/>
        <v>4366.8782777777815</v>
      </c>
      <c r="X12" s="315">
        <f t="shared" si="2"/>
        <v>6666.8782777777815</v>
      </c>
      <c r="Y12" s="315">
        <f t="shared" si="2"/>
        <v>8695.278277777783</v>
      </c>
      <c r="Z12" s="315">
        <f t="shared" si="2"/>
        <v>5223.1282777777815</v>
      </c>
      <c r="AA12" s="112">
        <v>22300.25</v>
      </c>
      <c r="AB12" s="112">
        <v>22300.25</v>
      </c>
      <c r="AC12" s="112">
        <v>22300.25</v>
      </c>
      <c r="AD12" s="112">
        <v>10300.25</v>
      </c>
      <c r="AE12" s="112">
        <v>10300.25</v>
      </c>
      <c r="AF12" s="112">
        <v>10300.25</v>
      </c>
      <c r="AG12" s="112">
        <v>2125.25</v>
      </c>
      <c r="AH12" s="112">
        <v>10300.25</v>
      </c>
      <c r="AI12" s="112">
        <v>10300.25</v>
      </c>
      <c r="AJ12" s="112">
        <v>10300.25</v>
      </c>
      <c r="AK12" s="112">
        <v>10300.25</v>
      </c>
      <c r="AL12" s="112">
        <v>2125.25</v>
      </c>
      <c r="AM12" s="112">
        <v>22300.25</v>
      </c>
      <c r="AN12" s="112">
        <v>22300.25</v>
      </c>
      <c r="AO12" s="112">
        <v>22300.25</v>
      </c>
      <c r="AP12" s="112">
        <v>10300.25</v>
      </c>
      <c r="AQ12" s="112">
        <v>10300.25</v>
      </c>
      <c r="AR12" s="112">
        <v>10300.25</v>
      </c>
      <c r="AS12" s="112">
        <v>2125.25</v>
      </c>
      <c r="AT12" s="112">
        <v>10300.25</v>
      </c>
      <c r="AU12" s="112">
        <v>10300.25</v>
      </c>
      <c r="AV12" s="112">
        <v>10300.25</v>
      </c>
      <c r="AW12" s="112">
        <v>10300.25</v>
      </c>
      <c r="AX12" s="112">
        <v>2125.25</v>
      </c>
    </row>
    <row r="13" spans="1:26" ht="12">
      <c r="A13" s="144" t="s">
        <v>256</v>
      </c>
      <c r="B13" s="313">
        <f>-FINANCIAMIENTO!D6</f>
        <v>-16834.333333333332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</row>
    <row r="14" spans="1:50" ht="12">
      <c r="A14" s="144" t="s">
        <v>257</v>
      </c>
      <c r="B14" s="313"/>
      <c r="C14" s="314">
        <f>+'AMORTIZACION DE CREDITO'!D16</f>
        <v>653.4300313382813</v>
      </c>
      <c r="D14" s="314">
        <f>+'AMORTIZACION DE CREDITO'!D17</f>
        <v>657.4195009110992</v>
      </c>
      <c r="E14" s="314">
        <f>+'AMORTIZACION DE CREDITO'!D18</f>
        <v>661.4333279004869</v>
      </c>
      <c r="F14" s="314">
        <f>+'AMORTIZACION DE CREDITO'!D19</f>
        <v>665.4716610188812</v>
      </c>
      <c r="G14" s="314">
        <f>+'AMORTIZACION DE CREDITO'!D20</f>
        <v>669.5346498866716</v>
      </c>
      <c r="H14" s="314">
        <f>+'AMORTIZACION DE CREDITO'!D21</f>
        <v>673.6224450377448</v>
      </c>
      <c r="I14" s="314">
        <f>+'AMORTIZACION DE CREDITO'!D22</f>
        <v>677.7351979250604</v>
      </c>
      <c r="J14" s="314">
        <f>+'AMORTIZACION DE CREDITO'!D23</f>
        <v>681.8730609262637</v>
      </c>
      <c r="K14" s="314">
        <f>+'AMORTIZACION DE CREDITO'!D24</f>
        <v>686.0361873493302</v>
      </c>
      <c r="L14" s="314">
        <f>+'AMORTIZACION DE CREDITO'!D25</f>
        <v>690.2247314382464</v>
      </c>
      <c r="M14" s="314">
        <f>+'AMORTIZACION DE CREDITO'!D26</f>
        <v>694.4388483787237</v>
      </c>
      <c r="N14" s="314">
        <f>+'AMORTIZACION DE CREDITO'!D27</f>
        <v>698.6786943039494</v>
      </c>
      <c r="O14" s="314">
        <f>+'AMORTIZACION DE CREDITO'!D28</f>
        <v>702.94442630037</v>
      </c>
      <c r="P14" s="314">
        <f>+'AMORTIZACION DE CREDITO'!D29</f>
        <v>707.236202413512</v>
      </c>
      <c r="Q14" s="314">
        <f>+'AMORTIZACION DE CREDITO'!D29</f>
        <v>707.236202413512</v>
      </c>
      <c r="R14" s="314">
        <f>+'AMORTIZACION DE CREDITO'!D30</f>
        <v>711.5541816538376</v>
      </c>
      <c r="S14" s="314">
        <f>+'AMORTIZACION DE CREDITO'!D31</f>
        <v>715.8985240026358</v>
      </c>
      <c r="T14" s="314">
        <f>+'AMORTIZACION DE CREDITO'!D32</f>
        <v>720.2693904179494</v>
      </c>
      <c r="U14" s="314">
        <f>+'AMORTIZACION DE CREDITO'!D33</f>
        <v>724.6669428405391</v>
      </c>
      <c r="V14" s="314">
        <f>+'AMORTIZACION DE CREDITO'!D34</f>
        <v>729.0913441998832</v>
      </c>
      <c r="W14" s="314">
        <f>+'AMORTIZACION DE CREDITO'!D35</f>
        <v>733.5427584202139</v>
      </c>
      <c r="X14" s="314">
        <f>+'AMORTIZACION DE CREDITO'!D36</f>
        <v>738.0213504265911</v>
      </c>
      <c r="Y14" s="314">
        <f>+'AMORTIZACION DE CREDITO'!D37</f>
        <v>742.5272861510124</v>
      </c>
      <c r="Z14" s="314">
        <f>+'AMORTIZACION DE CREDITO'!D38</f>
        <v>747.0607325385614</v>
      </c>
      <c r="AA14" s="191">
        <v>3402.876403317741</v>
      </c>
      <c r="AB14" s="191">
        <v>3419.884724565305</v>
      </c>
      <c r="AC14" s="191">
        <v>3436.9780571260562</v>
      </c>
      <c r="AD14" s="191">
        <v>3454.1568259051496</v>
      </c>
      <c r="AE14" s="191">
        <v>3471.421457931509</v>
      </c>
      <c r="AF14" s="191">
        <v>3488.7723823684414</v>
      </c>
      <c r="AG14" s="191">
        <v>3506.210030524307</v>
      </c>
      <c r="AH14" s="191">
        <v>3523.734835863239</v>
      </c>
      <c r="AI14" s="191">
        <v>3541.3472340159196</v>
      </c>
      <c r="AJ14" s="191">
        <v>3559.047662790409</v>
      </c>
      <c r="AK14" s="191">
        <v>3576.8365621830267</v>
      </c>
      <c r="AL14" s="191">
        <v>3594.7143743892907</v>
      </c>
      <c r="AM14" s="191">
        <v>3612.681543814909</v>
      </c>
      <c r="AN14" s="191">
        <v>3630.7385170868274</v>
      </c>
      <c r="AO14" s="191">
        <v>3630.7385170868274</v>
      </c>
      <c r="AP14" s="191">
        <v>3648.8857430643297</v>
      </c>
      <c r="AQ14" s="191">
        <v>3667.123672850197</v>
      </c>
      <c r="AR14" s="191">
        <v>3685.452759801922</v>
      </c>
      <c r="AS14" s="191">
        <v>3703.873459542976</v>
      </c>
      <c r="AT14" s="191">
        <v>3722.3862299741363</v>
      </c>
      <c r="AU14" s="191">
        <v>3740.991531284869</v>
      </c>
      <c r="AV14" s="191">
        <v>3759.689825964768</v>
      </c>
      <c r="AW14" s="191">
        <v>3778.481578815051</v>
      </c>
      <c r="AX14" s="191">
        <v>3797.3672569601144</v>
      </c>
    </row>
    <row r="15" spans="1:50" ht="12">
      <c r="A15" s="144" t="s">
        <v>258</v>
      </c>
      <c r="B15" s="313"/>
      <c r="C15" s="314">
        <f>+'ESTADO DE GANACIAS Y PERDIDAS'!B13</f>
        <v>102.78079884767294</v>
      </c>
      <c r="D15" s="314">
        <f>+'ESTADO DE GANACIAS Y PERDIDAS'!C13</f>
        <v>98.791329274855</v>
      </c>
      <c r="E15" s="314">
        <f>+'ESTADO DE GANACIAS Y PERDIDAS'!D13</f>
        <v>94.77750228546734</v>
      </c>
      <c r="F15" s="314">
        <f>+'ESTADO DE GANACIAS Y PERDIDAS'!E13</f>
        <v>90.7391691670731</v>
      </c>
      <c r="G15" s="314">
        <f>+'ESTADO DE GANACIAS Y PERDIDAS'!F13</f>
        <v>86.67618029928269</v>
      </c>
      <c r="H15" s="314">
        <f>+'ESTADO DE GANACIAS Y PERDIDAS'!G13</f>
        <v>82.58838514820945</v>
      </c>
      <c r="I15" s="314">
        <f>+'ESTADO DE GANACIAS Y PERDIDAS'!H13</f>
        <v>78.4756322608938</v>
      </c>
      <c r="J15" s="314">
        <f>+'ESTADO DE GANACIAS Y PERDIDAS'!I13</f>
        <v>74.3377692596905</v>
      </c>
      <c r="K15" s="314">
        <f>+'ESTADO DE GANACIAS Y PERDIDAS'!J13</f>
        <v>70.174642836624</v>
      </c>
      <c r="L15" s="314">
        <f>+'ESTADO DE GANACIAS Y PERDIDAS'!K13</f>
        <v>65.98609874770784</v>
      </c>
      <c r="M15" s="314">
        <f>+'ESTADO DE GANACIAS Y PERDIDAS'!L13</f>
        <v>61.77198180723053</v>
      </c>
      <c r="N15" s="314">
        <f>+'ESTADO DE GANACIAS Y PERDIDAS'!M13</f>
        <v>57.53213588200481</v>
      </c>
      <c r="O15" s="314">
        <f>+'ESTADO DE GANACIAS Y PERDIDAS'!N13</f>
        <v>53.26640388558428</v>
      </c>
      <c r="P15" s="314">
        <f>+'ESTADO DE GANACIAS Y PERDIDAS'!O13</f>
        <v>48.974627772442204</v>
      </c>
      <c r="Q15" s="314">
        <f>+'ESTADO DE GANACIAS Y PERDIDAS'!P13</f>
        <v>44.656648532116606</v>
      </c>
      <c r="R15" s="314">
        <f>+'ESTADO DE GANACIAS Y PERDIDAS'!Q13</f>
        <v>40.31230618331847</v>
      </c>
      <c r="S15" s="314">
        <f>+'ESTADO DE GANACIAS Y PERDIDAS'!R13</f>
        <v>35.9414397680049</v>
      </c>
      <c r="T15" s="314">
        <f>+'ESTADO DE GANACIAS Y PERDIDAS'!S13</f>
        <v>31.5438873454151</v>
      </c>
      <c r="U15" s="314">
        <f>+'ESTADO DE GANACIAS Y PERDIDAS'!T13</f>
        <v>27.119485986071027</v>
      </c>
      <c r="V15" s="314">
        <f>+'ESTADO DE GANACIAS Y PERDIDAS'!U13</f>
        <v>22.668071765740365</v>
      </c>
      <c r="W15" s="314">
        <f>+'ESTADO DE GANACIAS Y PERDIDAS'!V13</f>
        <v>18.189479759363167</v>
      </c>
      <c r="X15" s="314">
        <f>+'ESTADO DE GANACIAS Y PERDIDAS'!W13</f>
        <v>13.68354403494186</v>
      </c>
      <c r="Y15" s="314">
        <f>+'ESTADO DE GANACIAS Y PERDIDAS'!X13</f>
        <v>9.15009764739284</v>
      </c>
      <c r="Z15" s="314">
        <f>+'ESTADO DE GANACIAS Y PERDIDAS'!Y13</f>
        <v>4.5889726323615605</v>
      </c>
      <c r="AA15" s="191">
        <v>432.5458660000472</v>
      </c>
      <c r="AB15" s="191">
        <v>415.537544752483</v>
      </c>
      <c r="AC15" s="191">
        <v>398.4442121917318</v>
      </c>
      <c r="AD15" s="191">
        <v>381.26544341263843</v>
      </c>
      <c r="AE15" s="191">
        <v>364.0008113862791</v>
      </c>
      <c r="AF15" s="191">
        <v>346.64988694934664</v>
      </c>
      <c r="AG15" s="191">
        <v>329.212238793481</v>
      </c>
      <c r="AH15" s="191">
        <v>311.68743345454914</v>
      </c>
      <c r="AI15" s="191">
        <v>294.0750353018684</v>
      </c>
      <c r="AJ15" s="191">
        <v>276.374606527379</v>
      </c>
      <c r="AK15" s="191">
        <v>258.5857071347614</v>
      </c>
      <c r="AL15" s="191">
        <v>240.70789492849735</v>
      </c>
      <c r="AM15" s="191">
        <v>222.74072550287883</v>
      </c>
      <c r="AN15" s="191">
        <v>204.68375223096064</v>
      </c>
      <c r="AO15" s="191">
        <v>186.5365262534583</v>
      </c>
      <c r="AP15" s="191">
        <v>168.29859646759087</v>
      </c>
      <c r="AQ15" s="191">
        <v>149.96950951586587</v>
      </c>
      <c r="AR15" s="191">
        <v>131.54880977481207</v>
      </c>
      <c r="AS15" s="191">
        <v>113.03603934365174</v>
      </c>
      <c r="AT15" s="191">
        <v>94.43073803291918</v>
      </c>
      <c r="AU15" s="191">
        <v>75.73244335302024</v>
      </c>
      <c r="AV15" s="191">
        <v>56.9406905027372</v>
      </c>
      <c r="AW15" s="191">
        <v>38.055012357673604</v>
      </c>
      <c r="AX15" s="191">
        <v>19.074939458644167</v>
      </c>
    </row>
    <row r="16" spans="1:26" ht="12">
      <c r="A16" s="189"/>
      <c r="B16" s="310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</row>
    <row r="17" spans="1:50" ht="12">
      <c r="A17" s="190" t="s">
        <v>259</v>
      </c>
      <c r="B17" s="315">
        <f>SUM(B12:B13)</f>
        <v>-66834.33333333333</v>
      </c>
      <c r="C17" s="315">
        <f>C12-C14-C15</f>
        <v>3101.411447591826</v>
      </c>
      <c r="D17" s="315">
        <f aca="true" t="shared" si="3" ref="D17:Z17">D12-D14-D15</f>
        <v>2866.1074475918226</v>
      </c>
      <c r="E17" s="315">
        <f t="shared" si="3"/>
        <v>2528.3074475918265</v>
      </c>
      <c r="F17" s="315">
        <f t="shared" si="3"/>
        <v>3925.5474475918245</v>
      </c>
      <c r="G17" s="315">
        <f t="shared" si="3"/>
        <v>5945.907447591826</v>
      </c>
      <c r="H17" s="315">
        <f t="shared" si="3"/>
        <v>5258.707447591828</v>
      </c>
      <c r="I17" s="315">
        <f t="shared" si="3"/>
        <v>2849.5574475918265</v>
      </c>
      <c r="J17" s="315">
        <f t="shared" si="3"/>
        <v>4083.707447591828</v>
      </c>
      <c r="K17" s="315">
        <f t="shared" si="3"/>
        <v>3610.667447591827</v>
      </c>
      <c r="L17" s="315">
        <f t="shared" si="3"/>
        <v>5910.667447591827</v>
      </c>
      <c r="M17" s="315">
        <f t="shared" si="3"/>
        <v>7939.0674475918295</v>
      </c>
      <c r="N17" s="315">
        <f t="shared" si="3"/>
        <v>4466.917447591827</v>
      </c>
      <c r="O17" s="315">
        <f t="shared" si="3"/>
        <v>3167.9114475918263</v>
      </c>
      <c r="P17" s="315">
        <f t="shared" si="3"/>
        <v>2904.1074475918226</v>
      </c>
      <c r="Q17" s="315">
        <f t="shared" si="3"/>
        <v>2532.6254268321527</v>
      </c>
      <c r="R17" s="315">
        <f t="shared" si="3"/>
        <v>3929.891789940623</v>
      </c>
      <c r="S17" s="315">
        <f t="shared" si="3"/>
        <v>5950.278314007139</v>
      </c>
      <c r="T17" s="315">
        <f t="shared" si="3"/>
        <v>5263.105000014418</v>
      </c>
      <c r="U17" s="315">
        <f t="shared" si="3"/>
        <v>2853.9818489511704</v>
      </c>
      <c r="V17" s="315">
        <f t="shared" si="3"/>
        <v>4088.158861812158</v>
      </c>
      <c r="W17" s="315">
        <f t="shared" si="3"/>
        <v>3615.1460395982044</v>
      </c>
      <c r="X17" s="315">
        <f t="shared" si="3"/>
        <v>5915.173383316249</v>
      </c>
      <c r="Y17" s="315">
        <f t="shared" si="3"/>
        <v>7943.600893979378</v>
      </c>
      <c r="Z17" s="315">
        <f t="shared" si="3"/>
        <v>4471.4785726068585</v>
      </c>
      <c r="AA17" s="112">
        <v>18464.827730682213</v>
      </c>
      <c r="AB17" s="112">
        <v>18464.827730682213</v>
      </c>
      <c r="AC17" s="112">
        <v>18464.827730682213</v>
      </c>
      <c r="AD17" s="112">
        <v>6464.827730682213</v>
      </c>
      <c r="AE17" s="112">
        <v>6464.827730682213</v>
      </c>
      <c r="AF17" s="112">
        <v>6464.827730682213</v>
      </c>
      <c r="AG17" s="112">
        <v>-1710.172269317788</v>
      </c>
      <c r="AH17" s="112">
        <v>6464.827730682212</v>
      </c>
      <c r="AI17" s="112">
        <v>6464.827730682212</v>
      </c>
      <c r="AJ17" s="112">
        <v>6464.827730682212</v>
      </c>
      <c r="AK17" s="112">
        <v>6464.827730682211</v>
      </c>
      <c r="AL17" s="112">
        <v>-1710.172269317788</v>
      </c>
      <c r="AM17" s="112">
        <v>18464.827730682213</v>
      </c>
      <c r="AN17" s="112">
        <v>18464.82773068221</v>
      </c>
      <c r="AO17" s="112">
        <v>18482.974956659713</v>
      </c>
      <c r="AP17" s="112">
        <v>6483.06566046808</v>
      </c>
      <c r="AQ17" s="112">
        <v>6483.156817633937</v>
      </c>
      <c r="AR17" s="112">
        <v>6483.248430423266</v>
      </c>
      <c r="AS17" s="112">
        <v>-1691.6594988866277</v>
      </c>
      <c r="AT17" s="112">
        <v>6483.433031992945</v>
      </c>
      <c r="AU17" s="112">
        <v>6483.526025362111</v>
      </c>
      <c r="AV17" s="112">
        <v>6483.619483532495</v>
      </c>
      <c r="AW17" s="112">
        <v>6483.713408827276</v>
      </c>
      <c r="AX17" s="112">
        <v>-1691.1921964187586</v>
      </c>
    </row>
    <row r="19" ht="12">
      <c r="F19" s="108"/>
    </row>
    <row r="20" spans="1:9" ht="15" hidden="1">
      <c r="A20" s="57" t="s">
        <v>509</v>
      </c>
      <c r="B20" s="196">
        <f>IRR(B12:AX12)</f>
        <v>0.10937370624618459</v>
      </c>
      <c r="C20" s="195"/>
      <c r="D20" s="105"/>
      <c r="G20"/>
      <c r="H20"/>
      <c r="I20"/>
    </row>
    <row r="21" spans="1:9" ht="15" hidden="1">
      <c r="A21" s="197" t="s">
        <v>510</v>
      </c>
      <c r="B21" s="194">
        <f>NPV(D2,B12:Z12)</f>
        <v>57834.93508726572</v>
      </c>
      <c r="G21"/>
      <c r="H21"/>
      <c r="I21"/>
    </row>
    <row r="22" spans="1:9" ht="15" hidden="1">
      <c r="A22" s="190" t="s">
        <v>260</v>
      </c>
      <c r="B22" s="192">
        <f>IRR(B17:AX17)</f>
        <v>0.07200334740643988</v>
      </c>
      <c r="G22"/>
      <c r="H22"/>
      <c r="I22"/>
    </row>
    <row r="23" spans="1:12" ht="15" hidden="1">
      <c r="A23" s="193" t="s">
        <v>261</v>
      </c>
      <c r="B23" s="194">
        <f>NPV(D2,B17:Z17)</f>
        <v>25298.04524823136</v>
      </c>
      <c r="G23"/>
      <c r="H23"/>
      <c r="I23"/>
      <c r="K23" s="105"/>
      <c r="L23" s="105"/>
    </row>
    <row r="24" spans="7:16" ht="15">
      <c r="G24"/>
      <c r="H24"/>
      <c r="I24"/>
      <c r="P24" s="198"/>
    </row>
    <row r="25" spans="2:10" ht="15" hidden="1">
      <c r="B25" s="294">
        <v>0</v>
      </c>
      <c r="C25" s="294">
        <v>1</v>
      </c>
      <c r="D25" s="294">
        <v>2</v>
      </c>
      <c r="E25" s="105"/>
      <c r="F25" s="105"/>
      <c r="G25"/>
      <c r="H25"/>
      <c r="I25"/>
      <c r="J25" s="105"/>
    </row>
    <row r="26" spans="1:10" ht="12" hidden="1">
      <c r="A26" s="190" t="s">
        <v>255</v>
      </c>
      <c r="B26" s="112">
        <f>+B12</f>
        <v>-50000</v>
      </c>
      <c r="C26" s="275">
        <f>SUM(C12:N12)</f>
        <v>61561.10333333337</v>
      </c>
      <c r="D26" s="275">
        <f>SUM(O12:Z12)</f>
        <v>61665.60333333337</v>
      </c>
      <c r="H26" s="195"/>
      <c r="J26" s="198"/>
    </row>
    <row r="27" spans="1:10" ht="12" hidden="1">
      <c r="A27" s="190" t="s">
        <v>259</v>
      </c>
      <c r="B27" s="112">
        <f>+B17</f>
        <v>-66834.33333333333</v>
      </c>
      <c r="C27" s="275">
        <f>SUM(C17:N17)</f>
        <v>52486.57337110191</v>
      </c>
      <c r="D27" s="275">
        <f>SUM(O17:Z17)</f>
        <v>52635.459026241995</v>
      </c>
      <c r="H27" s="195"/>
      <c r="J27" s="199"/>
    </row>
    <row r="28" ht="12" hidden="1"/>
    <row r="29" ht="12" hidden="1"/>
    <row r="30" spans="1:2" ht="12" hidden="1">
      <c r="A30" s="57" t="s">
        <v>509</v>
      </c>
      <c r="B30" s="196">
        <f>IRR(B26:D26,12%)</f>
        <v>0.8853704637091833</v>
      </c>
    </row>
    <row r="31" spans="1:2" ht="12" hidden="1">
      <c r="A31" s="197" t="s">
        <v>510</v>
      </c>
      <c r="B31" s="194">
        <f>NPV(D1,B26:D26)</f>
        <v>48325.63595192545</v>
      </c>
    </row>
    <row r="32" spans="1:2" ht="12" hidden="1">
      <c r="A32" s="190" t="s">
        <v>260</v>
      </c>
      <c r="B32" s="192">
        <f>IRR(B27:D27,12%)</f>
        <v>0.36309178885936344</v>
      </c>
    </row>
    <row r="33" spans="1:2" ht="12" hidden="1">
      <c r="A33" s="193" t="s">
        <v>261</v>
      </c>
      <c r="B33" s="194">
        <f>NPV(D1,B27:D27)</f>
        <v>19633.34310978413</v>
      </c>
    </row>
    <row r="35" ht="10.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6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5" sqref="I35"/>
    </sheetView>
  </sheetViews>
  <sheetFormatPr defaultColWidth="11.421875" defaultRowHeight="15"/>
  <cols>
    <col min="1" max="1" width="11.57421875" style="4" bestFit="1" customWidth="1"/>
    <col min="2" max="2" width="12.28125" style="4" bestFit="1" customWidth="1"/>
    <col min="3" max="4" width="11.57421875" style="4" bestFit="1" customWidth="1"/>
    <col min="5" max="5" width="14.00390625" style="4" customWidth="1"/>
    <col min="6" max="6" width="15.421875" style="4" customWidth="1"/>
    <col min="7" max="7" width="13.7109375" style="4" customWidth="1"/>
    <col min="8" max="16384" width="11.421875" style="4" customWidth="1"/>
  </cols>
  <sheetData>
    <row r="1" spans="1:7" ht="12">
      <c r="A1" s="436" t="s">
        <v>512</v>
      </c>
      <c r="B1" s="436"/>
      <c r="C1" s="436"/>
      <c r="D1" s="436"/>
      <c r="E1" s="436"/>
      <c r="F1" s="436"/>
      <c r="G1" s="436"/>
    </row>
    <row r="2" spans="1:2" ht="12">
      <c r="A2" s="200"/>
      <c r="B2" s="200"/>
    </row>
    <row r="3" spans="1:7" ht="24">
      <c r="A3" s="419" t="s">
        <v>263</v>
      </c>
      <c r="B3" s="419" t="s">
        <v>249</v>
      </c>
      <c r="C3" s="419" t="s">
        <v>250</v>
      </c>
      <c r="D3" s="425" t="s">
        <v>507</v>
      </c>
      <c r="E3" s="419" t="s">
        <v>264</v>
      </c>
      <c r="F3" s="419" t="s">
        <v>265</v>
      </c>
      <c r="G3" s="419" t="s">
        <v>508</v>
      </c>
    </row>
    <row r="4" spans="1:7" ht="12">
      <c r="A4" s="202">
        <v>0</v>
      </c>
      <c r="B4" s="422"/>
      <c r="C4" s="422">
        <f>+'FLUJO DE CAJA ECON FINANCI'!B12</f>
        <v>-50000</v>
      </c>
      <c r="D4" s="429">
        <f>1/(1+'FLUJO DE CAJA ECON FINANCI'!$D$2)^A4</f>
        <v>1</v>
      </c>
      <c r="E4" s="422">
        <f>B4*D4</f>
        <v>0</v>
      </c>
      <c r="F4" s="422">
        <f>C4*D4</f>
        <v>-50000</v>
      </c>
      <c r="G4" s="321">
        <f>E4+F4</f>
        <v>-50000</v>
      </c>
    </row>
    <row r="5" spans="1:7" ht="12">
      <c r="A5" s="202">
        <v>1</v>
      </c>
      <c r="B5" s="422">
        <f>'FLUJO DE CAJA ECON FINANCI'!C4</f>
        <v>37490</v>
      </c>
      <c r="C5" s="422">
        <f>'FLUJO DE CAJA ECON FINANCI'!C6</f>
        <v>33632.37772222222</v>
      </c>
      <c r="D5" s="429">
        <f>1/(1+'FLUJO DE CAJA ECON FINANCI'!$D$2)^A5</f>
        <v>0.9900990099009901</v>
      </c>
      <c r="E5" s="422">
        <f aca="true" t="shared" si="0" ref="E5:E28">B5*D5</f>
        <v>37118.81188118812</v>
      </c>
      <c r="F5" s="422">
        <f aca="true" t="shared" si="1" ref="F5:F28">C5*D5</f>
        <v>33299.383883388335</v>
      </c>
      <c r="G5" s="321">
        <f aca="true" t="shared" si="2" ref="G5:G28">+E5-F5</f>
        <v>3819.4279977997867</v>
      </c>
    </row>
    <row r="6" spans="1:7" ht="12">
      <c r="A6" s="202">
        <v>2</v>
      </c>
      <c r="B6" s="422">
        <f>'FLUJO DE CAJA ECON FINANCI'!D4</f>
        <v>37400</v>
      </c>
      <c r="C6" s="422">
        <f>'FLUJO DE CAJA ECON FINANCI'!D6</f>
        <v>33777.68172222222</v>
      </c>
      <c r="D6" s="429">
        <f>1/(1+'FLUJO DE CAJA ECON FINANCI'!$D$2)^A6</f>
        <v>0.9802960494069208</v>
      </c>
      <c r="E6" s="422">
        <f t="shared" si="0"/>
        <v>36663.07224781884</v>
      </c>
      <c r="F6" s="422">
        <f t="shared" si="1"/>
        <v>33112.127950418806</v>
      </c>
      <c r="G6" s="321">
        <f t="shared" si="2"/>
        <v>3550.944297400034</v>
      </c>
    </row>
    <row r="7" spans="1:7" ht="12">
      <c r="A7" s="202">
        <v>3</v>
      </c>
      <c r="B7" s="422">
        <f>'FLUJO DE CAJA ECON FINANCI'!E4</f>
        <v>36650</v>
      </c>
      <c r="C7" s="422">
        <f>'FLUJO DE CAJA ECON FINANCI'!E6</f>
        <v>33365.48172222222</v>
      </c>
      <c r="D7" s="429">
        <f>1/(1+'FLUJO DE CAJA ECON FINANCI'!$D$2)^A7</f>
        <v>0.9705901479276445</v>
      </c>
      <c r="E7" s="422">
        <f t="shared" si="0"/>
        <v>35572.128921548174</v>
      </c>
      <c r="F7" s="422">
        <f t="shared" si="1"/>
        <v>32384.207840448784</v>
      </c>
      <c r="G7" s="321">
        <f t="shared" si="2"/>
        <v>3187.92108109939</v>
      </c>
    </row>
    <row r="8" spans="1:7" ht="12">
      <c r="A8" s="202">
        <v>4</v>
      </c>
      <c r="B8" s="422">
        <f>'FLUJO DE CAJA ECON FINANCI'!F4</f>
        <v>41240</v>
      </c>
      <c r="C8" s="422">
        <f>'FLUJO DE CAJA ECON FINANCI'!F6</f>
        <v>36558.24172222222</v>
      </c>
      <c r="D8" s="429">
        <f>1/(1+'FLUJO DE CAJA ECON FINANCI'!$D$2)^A8</f>
        <v>0.9609803444828162</v>
      </c>
      <c r="E8" s="422">
        <f t="shared" si="0"/>
        <v>39630.82940647134</v>
      </c>
      <c r="F8" s="422">
        <f t="shared" si="1"/>
        <v>35131.751723907175</v>
      </c>
      <c r="G8" s="321">
        <f t="shared" si="2"/>
        <v>4499.077682564166</v>
      </c>
    </row>
    <row r="9" spans="1:7" ht="12">
      <c r="A9" s="202">
        <v>5</v>
      </c>
      <c r="B9" s="422">
        <f>'FLUJO DE CAJA ECON FINANCI'!G4</f>
        <v>48690</v>
      </c>
      <c r="C9" s="422">
        <f>'FLUJO DE CAJA ECON FINANCI'!G6</f>
        <v>41987.88172222222</v>
      </c>
      <c r="D9" s="429">
        <f>1/(1+'FLUJO DE CAJA ECON FINANCI'!$D$2)^A9</f>
        <v>0.9514656876067489</v>
      </c>
      <c r="E9" s="422">
        <f t="shared" si="0"/>
        <v>46326.8643295726</v>
      </c>
      <c r="F9" s="422">
        <f t="shared" si="1"/>
        <v>39950.02875398501</v>
      </c>
      <c r="G9" s="321">
        <f t="shared" si="2"/>
        <v>6376.835575587589</v>
      </c>
    </row>
    <row r="10" spans="1:7" ht="12">
      <c r="A10" s="202">
        <v>6</v>
      </c>
      <c r="B10" s="422">
        <f>'FLUJO DE CAJA ECON FINANCI'!H4</f>
        <v>47650</v>
      </c>
      <c r="C10" s="422">
        <f>'FLUJO DE CAJA ECON FINANCI'!H6</f>
        <v>41635.08172222222</v>
      </c>
      <c r="D10" s="429">
        <f>1/(1+'FLUJO DE CAJA ECON FINANCI'!$D$2)^A10</f>
        <v>0.9420452352542066</v>
      </c>
      <c r="E10" s="422">
        <f t="shared" si="0"/>
        <v>44888.45545986294</v>
      </c>
      <c r="F10" s="422">
        <f t="shared" si="1"/>
        <v>39222.13035583895</v>
      </c>
      <c r="G10" s="321">
        <f t="shared" si="2"/>
        <v>5666.325104023992</v>
      </c>
    </row>
    <row r="11" spans="1:7" ht="12">
      <c r="A11" s="202">
        <v>7</v>
      </c>
      <c r="B11" s="422">
        <f>'FLUJO DE CAJA ECON FINANCI'!I4</f>
        <v>50940</v>
      </c>
      <c r="C11" s="422">
        <f>'FLUJO DE CAJA ECON FINANCI'!I6</f>
        <v>47334.23172222222</v>
      </c>
      <c r="D11" s="429">
        <f>1/(1+'FLUJO DE CAJA ECON FINANCI'!$D$2)^A11</f>
        <v>0.9327180547071355</v>
      </c>
      <c r="E11" s="422">
        <f t="shared" si="0"/>
        <v>47512.65770678149</v>
      </c>
      <c r="F11" s="422">
        <f t="shared" si="1"/>
        <v>44149.49253300789</v>
      </c>
      <c r="G11" s="321">
        <f t="shared" si="2"/>
        <v>3363.1651737735956</v>
      </c>
    </row>
    <row r="12" spans="1:7" ht="12">
      <c r="A12" s="202">
        <v>8</v>
      </c>
      <c r="B12" s="422">
        <f>'FLUJO DE CAJA ECON FINANCI'!J4</f>
        <v>39840</v>
      </c>
      <c r="C12" s="422">
        <f>'FLUJO DE CAJA ECON FINANCI'!J6</f>
        <v>35000.08172222222</v>
      </c>
      <c r="D12" s="429">
        <f>1/(1+'FLUJO DE CAJA ECON FINANCI'!$D$2)^A12</f>
        <v>0.9234832224823122</v>
      </c>
      <c r="E12" s="422">
        <f t="shared" si="0"/>
        <v>36791.57158369532</v>
      </c>
      <c r="F12" s="422">
        <f t="shared" si="1"/>
        <v>32321.988255982047</v>
      </c>
      <c r="G12" s="321">
        <f t="shared" si="2"/>
        <v>4469.58332771327</v>
      </c>
    </row>
    <row r="13" spans="1:7" ht="12">
      <c r="A13" s="202">
        <v>9</v>
      </c>
      <c r="B13" s="422">
        <f>'FLUJO DE CAJA ECON FINANCI'!K4</f>
        <v>39000</v>
      </c>
      <c r="C13" s="422">
        <f>'FLUJO DE CAJA ECON FINANCI'!K6</f>
        <v>34633.12172222222</v>
      </c>
      <c r="D13" s="429">
        <f>1/(1+'FLUJO DE CAJA ECON FINANCI'!$D$2)^A13</f>
        <v>0.9143398242399129</v>
      </c>
      <c r="E13" s="422">
        <f t="shared" si="0"/>
        <v>35659.253145356604</v>
      </c>
      <c r="F13" s="422">
        <f t="shared" si="1"/>
        <v>31666.442428376173</v>
      </c>
      <c r="G13" s="321">
        <f t="shared" si="2"/>
        <v>3992.8107169804316</v>
      </c>
    </row>
    <row r="14" spans="1:7" ht="12">
      <c r="A14" s="202">
        <v>10</v>
      </c>
      <c r="B14" s="422">
        <f>'FLUJO DE CAJA ECON FINANCI'!L4</f>
        <v>47100</v>
      </c>
      <c r="C14" s="422">
        <f>'FLUJO DE CAJA ECON FINANCI'!L6</f>
        <v>40433.12172222222</v>
      </c>
      <c r="D14" s="429">
        <f>1/(1+'FLUJO DE CAJA ECON FINANCI'!$D$2)^A14</f>
        <v>0.9052869546929831</v>
      </c>
      <c r="E14" s="422">
        <f t="shared" si="0"/>
        <v>42639.0155660395</v>
      </c>
      <c r="F14" s="422">
        <f t="shared" si="1"/>
        <v>36603.57763264126</v>
      </c>
      <c r="G14" s="321">
        <f t="shared" si="2"/>
        <v>6035.437933398243</v>
      </c>
    </row>
    <row r="15" spans="1:7" ht="12">
      <c r="A15" s="202">
        <v>11</v>
      </c>
      <c r="B15" s="422">
        <f>'FLUJO DE CAJA ECON FINANCI'!M4</f>
        <v>53050</v>
      </c>
      <c r="C15" s="422">
        <f>'FLUJO DE CAJA ECON FINANCI'!M6</f>
        <v>44354.72172222222</v>
      </c>
      <c r="D15" s="429">
        <f>1/(1+'FLUJO DE CAJA ECON FINANCI'!$D$2)^A15</f>
        <v>0.8963237175178053</v>
      </c>
      <c r="E15" s="422">
        <f t="shared" si="0"/>
        <v>47549.97321431957</v>
      </c>
      <c r="F15" s="422">
        <f t="shared" si="1"/>
        <v>39756.189063529964</v>
      </c>
      <c r="G15" s="321">
        <f t="shared" si="2"/>
        <v>7793.784150789608</v>
      </c>
    </row>
    <row r="16" spans="1:7" ht="12">
      <c r="A16" s="202">
        <v>12</v>
      </c>
      <c r="B16" s="422">
        <f>'FLUJO DE CAJA ECON FINANCI'!N4</f>
        <v>54550</v>
      </c>
      <c r="C16" s="422">
        <f>'FLUJO DE CAJA ECON FINANCI'!N6</f>
        <v>49326.87172222222</v>
      </c>
      <c r="D16" s="429">
        <f>1/(1+'FLUJO DE CAJA ECON FINANCI'!$D$2)^A16</f>
        <v>0.8874492252651537</v>
      </c>
      <c r="E16" s="422">
        <f t="shared" si="0"/>
        <v>48410.355238214135</v>
      </c>
      <c r="F16" s="422">
        <f t="shared" si="1"/>
        <v>43775.094094639724</v>
      </c>
      <c r="G16" s="321">
        <f t="shared" si="2"/>
        <v>4635.261143574411</v>
      </c>
    </row>
    <row r="17" spans="1:7" ht="12">
      <c r="A17" s="202">
        <v>13</v>
      </c>
      <c r="B17" s="422">
        <f>'FLUJO DE CAJA ECON FINANCI'!O4</f>
        <v>37490</v>
      </c>
      <c r="C17" s="422">
        <f>'FLUJO DE CAJA ECON FINANCI'!O6</f>
        <v>33565.87772222222</v>
      </c>
      <c r="D17" s="429">
        <f>1/(1+'FLUJO DE CAJA ECON FINANCI'!$D$2)^A17</f>
        <v>0.8786625992724293</v>
      </c>
      <c r="E17" s="422">
        <f t="shared" si="0"/>
        <v>32941.060846723376</v>
      </c>
      <c r="F17" s="422">
        <f t="shared" si="1"/>
        <v>29493.081366268303</v>
      </c>
      <c r="G17" s="321">
        <f t="shared" si="2"/>
        <v>3447.979480455073</v>
      </c>
    </row>
    <row r="18" spans="1:7" ht="12">
      <c r="A18" s="202">
        <v>14</v>
      </c>
      <c r="B18" s="422">
        <f>'FLUJO DE CAJA ECON FINANCI'!P4</f>
        <v>37400</v>
      </c>
      <c r="C18" s="422">
        <f>'FLUJO DE CAJA ECON FINANCI'!P6</f>
        <v>33739.68172222222</v>
      </c>
      <c r="D18" s="429">
        <f>1/(1+'FLUJO DE CAJA ECON FINANCI'!$D$2)^A18</f>
        <v>0.8699629695766626</v>
      </c>
      <c r="E18" s="422">
        <f t="shared" si="0"/>
        <v>32536.615062167184</v>
      </c>
      <c r="F18" s="422">
        <f t="shared" si="1"/>
        <v>29352.273703635892</v>
      </c>
      <c r="G18" s="321">
        <f t="shared" si="2"/>
        <v>3184.341358531292</v>
      </c>
    </row>
    <row r="19" spans="1:7" ht="12">
      <c r="A19" s="202">
        <v>15</v>
      </c>
      <c r="B19" s="422">
        <f>'FLUJO DE CAJA ECON FINANCI'!Q4</f>
        <v>36650</v>
      </c>
      <c r="C19" s="422">
        <f>'FLUJO DE CAJA ECON FINANCI'!Q6</f>
        <v>33365.48172222222</v>
      </c>
      <c r="D19" s="429">
        <f>1/(1+'FLUJO DE CAJA ECON FINANCI'!$D$2)^A19</f>
        <v>0.8613494748283791</v>
      </c>
      <c r="E19" s="422">
        <f t="shared" si="0"/>
        <v>31568.458252460092</v>
      </c>
      <c r="F19" s="422">
        <f t="shared" si="1"/>
        <v>28739.34015883199</v>
      </c>
      <c r="G19" s="321">
        <f t="shared" si="2"/>
        <v>2829.1180936281016</v>
      </c>
    </row>
    <row r="20" spans="1:7" ht="12">
      <c r="A20" s="202">
        <v>16</v>
      </c>
      <c r="B20" s="422">
        <f>'FLUJO DE CAJA ECON FINANCI'!R4</f>
        <v>41240</v>
      </c>
      <c r="C20" s="422">
        <f>'FLUJO DE CAJA ECON FINANCI'!R6</f>
        <v>36558.24172222222</v>
      </c>
      <c r="D20" s="429">
        <f>1/(1+'FLUJO DE CAJA ECON FINANCI'!$D$2)^A20</f>
        <v>0.8528212622063156</v>
      </c>
      <c r="E20" s="422">
        <f t="shared" si="0"/>
        <v>35170.34885338845</v>
      </c>
      <c r="F20" s="422">
        <f t="shared" si="1"/>
        <v>31177.645849589142</v>
      </c>
      <c r="G20" s="321">
        <f t="shared" si="2"/>
        <v>3992.70300379931</v>
      </c>
    </row>
    <row r="21" spans="1:7" ht="12">
      <c r="A21" s="202">
        <v>17</v>
      </c>
      <c r="B21" s="422">
        <f>'FLUJO DE CAJA ECON FINANCI'!S4</f>
        <v>48690</v>
      </c>
      <c r="C21" s="422">
        <f>'FLUJO DE CAJA ECON FINANCI'!S6</f>
        <v>41987.88172222222</v>
      </c>
      <c r="D21" s="429">
        <f>1/(1+'FLUJO DE CAJA ECON FINANCI'!$D$2)^A21</f>
        <v>0.8443774873329857</v>
      </c>
      <c r="E21" s="422">
        <f t="shared" si="0"/>
        <v>41112.739858243076</v>
      </c>
      <c r="F21" s="422">
        <f t="shared" si="1"/>
        <v>35453.62206704459</v>
      </c>
      <c r="G21" s="321">
        <f t="shared" si="2"/>
        <v>5659.117791198485</v>
      </c>
    </row>
    <row r="22" spans="1:7" ht="12">
      <c r="A22" s="202">
        <v>18</v>
      </c>
      <c r="B22" s="422">
        <f>'FLUJO DE CAJA ECON FINANCI'!T4</f>
        <v>47650</v>
      </c>
      <c r="C22" s="422">
        <f>'FLUJO DE CAJA ECON FINANCI'!T6</f>
        <v>41635.08172222222</v>
      </c>
      <c r="D22" s="429">
        <f>1/(1+'FLUJO DE CAJA ECON FINANCI'!$D$2)^A22</f>
        <v>0.836017314191075</v>
      </c>
      <c r="E22" s="422">
        <f t="shared" si="0"/>
        <v>39836.22502120472</v>
      </c>
      <c r="F22" s="422">
        <f t="shared" si="1"/>
        <v>34807.649197538136</v>
      </c>
      <c r="G22" s="321">
        <f t="shared" si="2"/>
        <v>5028.575823666586</v>
      </c>
    </row>
    <row r="23" spans="1:7" ht="12">
      <c r="A23" s="202">
        <v>19</v>
      </c>
      <c r="B23" s="422">
        <f>'FLUJO DE CAJA ECON FINANCI'!U4</f>
        <v>50940</v>
      </c>
      <c r="C23" s="422">
        <f>'FLUJO DE CAJA ECON FINANCI'!U6</f>
        <v>47334.23172222222</v>
      </c>
      <c r="D23" s="429">
        <f>1/(1+'FLUJO DE CAJA ECON FINANCI'!$D$2)^A23</f>
        <v>0.8277399150406685</v>
      </c>
      <c r="E23" s="422">
        <f t="shared" si="0"/>
        <v>42165.07127217165</v>
      </c>
      <c r="F23" s="422">
        <f t="shared" si="1"/>
        <v>39180.43294426754</v>
      </c>
      <c r="G23" s="321">
        <f t="shared" si="2"/>
        <v>2984.638327904111</v>
      </c>
    </row>
    <row r="24" spans="1:7" ht="12">
      <c r="A24" s="202">
        <v>20</v>
      </c>
      <c r="B24" s="422">
        <f>'FLUJO DE CAJA ECON FINANCI'!V4</f>
        <v>39840</v>
      </c>
      <c r="C24" s="422">
        <f>'FLUJO DE CAJA ECON FINANCI'!V6</f>
        <v>35000.08172222222</v>
      </c>
      <c r="D24" s="429">
        <f>1/(1+'FLUJO DE CAJA ECON FINANCI'!$D$2)^A24</f>
        <v>0.8195444703372954</v>
      </c>
      <c r="E24" s="422">
        <f t="shared" si="0"/>
        <v>32650.65169823785</v>
      </c>
      <c r="F24" s="422">
        <f t="shared" si="1"/>
        <v>28684.12343680066</v>
      </c>
      <c r="G24" s="321">
        <f t="shared" si="2"/>
        <v>3966.52826143719</v>
      </c>
    </row>
    <row r="25" spans="1:7" ht="12">
      <c r="A25" s="202">
        <v>21</v>
      </c>
      <c r="B25" s="422">
        <f>'FLUJO DE CAJA ECON FINANCI'!W4</f>
        <v>39000</v>
      </c>
      <c r="C25" s="422">
        <f>'FLUJO DE CAJA ECON FINANCI'!W6</f>
        <v>34633.12172222222</v>
      </c>
      <c r="D25" s="429">
        <f>1/(1+'FLUJO DE CAJA ECON FINANCI'!$D$2)^A25</f>
        <v>0.8114301686507877</v>
      </c>
      <c r="E25" s="422">
        <f t="shared" si="0"/>
        <v>31645.77657738072</v>
      </c>
      <c r="F25" s="422">
        <f t="shared" si="1"/>
        <v>28102.35979996603</v>
      </c>
      <c r="G25" s="321">
        <f t="shared" si="2"/>
        <v>3543.416777414688</v>
      </c>
    </row>
    <row r="26" spans="1:7" ht="12">
      <c r="A26" s="202">
        <v>22</v>
      </c>
      <c r="B26" s="422">
        <f>'FLUJO DE CAJA ECON FINANCI'!X4</f>
        <v>47100</v>
      </c>
      <c r="C26" s="422">
        <f>'FLUJO DE CAJA ECON FINANCI'!X6</f>
        <v>40433.12172222222</v>
      </c>
      <c r="D26" s="429">
        <f>1/(1+'FLUJO DE CAJA ECON FINANCI'!$D$2)^A26</f>
        <v>0.803396206584938</v>
      </c>
      <c r="E26" s="422">
        <f t="shared" si="0"/>
        <v>37839.96133015058</v>
      </c>
      <c r="F26" s="422">
        <f t="shared" si="1"/>
        <v>32483.816612020386</v>
      </c>
      <c r="G26" s="321">
        <f t="shared" si="2"/>
        <v>5356.1447181301955</v>
      </c>
    </row>
    <row r="27" spans="1:7" ht="12">
      <c r="A27" s="202">
        <v>23</v>
      </c>
      <c r="B27" s="422">
        <f>'FLUJO DE CAJA ECON FINANCI'!Y4</f>
        <v>53050</v>
      </c>
      <c r="C27" s="422">
        <f>'FLUJO DE CAJA ECON FINANCI'!Y6</f>
        <v>44354.72172222222</v>
      </c>
      <c r="D27" s="429">
        <f>1/(1+'FLUJO DE CAJA ECON FINANCI'!$D$2)^A27</f>
        <v>0.7954417886979586</v>
      </c>
      <c r="E27" s="422">
        <f t="shared" si="0"/>
        <v>42198.1868904267</v>
      </c>
      <c r="F27" s="422">
        <f t="shared" si="1"/>
        <v>35281.599183924634</v>
      </c>
      <c r="G27" s="321">
        <f t="shared" si="2"/>
        <v>6916.587706502069</v>
      </c>
    </row>
    <row r="28" spans="1:7" ht="12">
      <c r="A28" s="202">
        <v>24</v>
      </c>
      <c r="B28" s="422">
        <f>'FLUJO DE CAJA ECON FINANCI'!Z4</f>
        <v>54550</v>
      </c>
      <c r="C28" s="422">
        <f>'FLUJO DE CAJA ECON FINANCI'!Z6</f>
        <v>49326.87172222222</v>
      </c>
      <c r="D28" s="429">
        <f>1/(1+'FLUJO DE CAJA ECON FINANCI'!$D$2)^A28</f>
        <v>0.7875661274237212</v>
      </c>
      <c r="E28" s="422">
        <f t="shared" si="0"/>
        <v>42961.73225096399</v>
      </c>
      <c r="F28" s="422">
        <f t="shared" si="1"/>
        <v>38848.173340197216</v>
      </c>
      <c r="G28" s="321">
        <f t="shared" si="2"/>
        <v>4113.5589107667765</v>
      </c>
    </row>
    <row r="29" spans="1:7" ht="12">
      <c r="A29" s="203"/>
      <c r="B29" s="423"/>
      <c r="C29" s="423"/>
      <c r="D29" s="423"/>
      <c r="F29" s="420" t="s">
        <v>510</v>
      </c>
      <c r="G29" s="426">
        <f>SUM(G4:G28)</f>
        <v>58413.284438138384</v>
      </c>
    </row>
    <row r="30" spans="6:7" ht="12">
      <c r="F30" s="420" t="s">
        <v>511</v>
      </c>
      <c r="G30" s="427">
        <f>IRR(G4:G28)</f>
        <v>0.07273295239247801</v>
      </c>
    </row>
    <row r="31" ht="12">
      <c r="G31" s="428"/>
    </row>
    <row r="33" spans="1:7" ht="12">
      <c r="A33" s="436" t="s">
        <v>513</v>
      </c>
      <c r="B33" s="436"/>
      <c r="C33" s="436"/>
      <c r="D33" s="436"/>
      <c r="E33" s="436"/>
      <c r="F33" s="436"/>
      <c r="G33" s="436"/>
    </row>
    <row r="34" spans="1:2" ht="12">
      <c r="A34" s="200"/>
      <c r="B34" s="200"/>
    </row>
    <row r="35" spans="1:7" ht="24">
      <c r="A35" s="419" t="s">
        <v>263</v>
      </c>
      <c r="B35" s="419" t="s">
        <v>249</v>
      </c>
      <c r="C35" s="419" t="s">
        <v>250</v>
      </c>
      <c r="D35" s="425" t="s">
        <v>507</v>
      </c>
      <c r="E35" s="419" t="s">
        <v>264</v>
      </c>
      <c r="F35" s="419" t="s">
        <v>265</v>
      </c>
      <c r="G35" s="419" t="s">
        <v>508</v>
      </c>
    </row>
    <row r="36" spans="1:7" ht="12">
      <c r="A36" s="202">
        <v>0</v>
      </c>
      <c r="B36" s="422"/>
      <c r="C36" s="422">
        <f>+'FLUJO DE CAJA ECON FINANCI'!B17</f>
        <v>-66834.33333333333</v>
      </c>
      <c r="D36" s="422">
        <f>1/(1+'FLUJO DE CAJA ECON FINANCI'!$D$2)^A36</f>
        <v>1</v>
      </c>
      <c r="E36" s="422">
        <f>B36*D36</f>
        <v>0</v>
      </c>
      <c r="F36" s="422">
        <f>C36*D36</f>
        <v>-66834.33333333333</v>
      </c>
      <c r="G36" s="321">
        <f>+E36+F36</f>
        <v>-66834.33333333333</v>
      </c>
    </row>
    <row r="37" spans="1:7" ht="12">
      <c r="A37" s="202">
        <v>1</v>
      </c>
      <c r="B37" s="422">
        <f>+B5</f>
        <v>37490</v>
      </c>
      <c r="C37" s="422">
        <f>+'FLUJO DE CAJA ECON FINANCI'!C6+'FLUJO DE CAJA ECON FINANCI'!C14+'FLUJO DE CAJA ECON FINANCI'!C15</f>
        <v>34388.588552408175</v>
      </c>
      <c r="D37" s="422">
        <f>1/(1+'FLUJO DE CAJA ECON FINANCI'!$D$2)^A37</f>
        <v>0.9900990099009901</v>
      </c>
      <c r="E37" s="422">
        <f aca="true" t="shared" si="3" ref="E37:E60">B37*D37</f>
        <v>37118.81188118812</v>
      </c>
      <c r="F37" s="422">
        <f aca="true" t="shared" si="4" ref="F37:F60">C37*D37</f>
        <v>34048.10747763186</v>
      </c>
      <c r="G37" s="321">
        <f aca="true" t="shared" si="5" ref="G37:G60">+E37-F37</f>
        <v>3070.704403556265</v>
      </c>
    </row>
    <row r="38" spans="1:7" ht="12">
      <c r="A38" s="202">
        <v>2</v>
      </c>
      <c r="B38" s="422">
        <f aca="true" t="shared" si="6" ref="B38:B60">+B6</f>
        <v>37400</v>
      </c>
      <c r="C38" s="422">
        <f>+'FLUJO DE CAJA ECON FINANCI'!D6+'FLUJO DE CAJA ECON FINANCI'!D14+'FLUJO DE CAJA ECON FINANCI'!D15</f>
        <v>34533.89255240818</v>
      </c>
      <c r="D38" s="422">
        <f>1/(1+'FLUJO DE CAJA ECON FINANCI'!$D$2)^A38</f>
        <v>0.9802960494069208</v>
      </c>
      <c r="E38" s="422">
        <f t="shared" si="3"/>
        <v>36663.07224781884</v>
      </c>
      <c r="F38" s="422">
        <f t="shared" si="4"/>
        <v>33853.438439768826</v>
      </c>
      <c r="G38" s="321">
        <f t="shared" si="5"/>
        <v>2809.6338080500136</v>
      </c>
    </row>
    <row r="39" spans="1:7" ht="12">
      <c r="A39" s="202">
        <v>3</v>
      </c>
      <c r="B39" s="422">
        <f t="shared" si="6"/>
        <v>36650</v>
      </c>
      <c r="C39" s="422">
        <f>+'FLUJO DE CAJA ECON FINANCI'!E6+'FLUJO DE CAJA ECON FINANCI'!E14+'FLUJO DE CAJA ECON FINANCI'!E15</f>
        <v>34121.692552408174</v>
      </c>
      <c r="D39" s="422">
        <f>1/(1+'FLUJO DE CAJA ECON FINANCI'!$D$2)^A39</f>
        <v>0.9705901479276445</v>
      </c>
      <c r="E39" s="422">
        <f t="shared" si="3"/>
        <v>35572.128921548174</v>
      </c>
      <c r="F39" s="422">
        <f t="shared" si="4"/>
        <v>33118.178621983454</v>
      </c>
      <c r="G39" s="321">
        <f t="shared" si="5"/>
        <v>2453.95029956472</v>
      </c>
    </row>
    <row r="40" spans="1:7" ht="12">
      <c r="A40" s="202">
        <v>4</v>
      </c>
      <c r="B40" s="422">
        <f t="shared" si="6"/>
        <v>41240</v>
      </c>
      <c r="C40" s="422">
        <f>+'FLUJO DE CAJA ECON FINANCI'!F6+'FLUJO DE CAJA ECON FINANCI'!F14+'FLUJO DE CAJA ECON FINANCI'!F15</f>
        <v>37314.45255240818</v>
      </c>
      <c r="D40" s="422">
        <f>1/(1+'FLUJO DE CAJA ECON FINANCI'!$D$2)^A40</f>
        <v>0.9609803444828162</v>
      </c>
      <c r="E40" s="422">
        <f t="shared" si="3"/>
        <v>39630.82940647134</v>
      </c>
      <c r="F40" s="422">
        <f t="shared" si="4"/>
        <v>35858.45546800091</v>
      </c>
      <c r="G40" s="321">
        <f t="shared" si="5"/>
        <v>3772.3739384704313</v>
      </c>
    </row>
    <row r="41" spans="1:7" ht="12">
      <c r="A41" s="202">
        <v>5</v>
      </c>
      <c r="B41" s="422">
        <f t="shared" si="6"/>
        <v>48690</v>
      </c>
      <c r="C41" s="422">
        <f>+'FLUJO DE CAJA ECON FINANCI'!G6+'FLUJO DE CAJA ECON FINANCI'!G14+'FLUJO DE CAJA ECON FINANCI'!G15</f>
        <v>42744.092552408176</v>
      </c>
      <c r="D41" s="422">
        <f>1/(1+'FLUJO DE CAJA ECON FINANCI'!$D$2)^A41</f>
        <v>0.9514656876067489</v>
      </c>
      <c r="E41" s="422">
        <f t="shared" si="3"/>
        <v>46326.8643295726</v>
      </c>
      <c r="F41" s="422">
        <f t="shared" si="4"/>
        <v>40669.53741150356</v>
      </c>
      <c r="G41" s="321">
        <f t="shared" si="5"/>
        <v>5657.32691806904</v>
      </c>
    </row>
    <row r="42" spans="1:7" ht="12">
      <c r="A42" s="202">
        <v>6</v>
      </c>
      <c r="B42" s="422">
        <f t="shared" si="6"/>
        <v>47650</v>
      </c>
      <c r="C42" s="422">
        <f>+'FLUJO DE CAJA ECON FINANCI'!H6+'FLUJO DE CAJA ECON FINANCI'!H14+'FLUJO DE CAJA ECON FINANCI'!H15</f>
        <v>42391.292552408166</v>
      </c>
      <c r="D42" s="422">
        <f>1/(1+'FLUJO DE CAJA ECON FINANCI'!$D$2)^A42</f>
        <v>0.9420452352542066</v>
      </c>
      <c r="E42" s="422">
        <f t="shared" si="3"/>
        <v>44888.45545986294</v>
      </c>
      <c r="F42" s="422">
        <f t="shared" si="4"/>
        <v>39934.51516526325</v>
      </c>
      <c r="G42" s="321">
        <f t="shared" si="5"/>
        <v>4953.940294599692</v>
      </c>
    </row>
    <row r="43" spans="1:7" ht="12">
      <c r="A43" s="202">
        <v>7</v>
      </c>
      <c r="B43" s="422">
        <f t="shared" si="6"/>
        <v>50940</v>
      </c>
      <c r="C43" s="422">
        <f>+'FLUJO DE CAJA ECON FINANCI'!I6+'FLUJO DE CAJA ECON FINANCI'!I14+'FLUJO DE CAJA ECON FINANCI'!I15</f>
        <v>48090.442552408174</v>
      </c>
      <c r="D43" s="422">
        <f>1/(1+'FLUJO DE CAJA ECON FINANCI'!$D$2)^A43</f>
        <v>0.9327180547071355</v>
      </c>
      <c r="E43" s="422">
        <f t="shared" si="3"/>
        <v>47512.65770678149</v>
      </c>
      <c r="F43" s="422">
        <f t="shared" si="4"/>
        <v>44854.824027487404</v>
      </c>
      <c r="G43" s="321">
        <f t="shared" si="5"/>
        <v>2657.8336792940827</v>
      </c>
    </row>
    <row r="44" spans="1:7" ht="12">
      <c r="A44" s="202">
        <v>8</v>
      </c>
      <c r="B44" s="422">
        <f t="shared" si="6"/>
        <v>39840</v>
      </c>
      <c r="C44" s="422">
        <f>+'FLUJO DE CAJA ECON FINANCI'!J6+'FLUJO DE CAJA ECON FINANCI'!J14+'FLUJO DE CAJA ECON FINANCI'!J15</f>
        <v>35756.29255240817</v>
      </c>
      <c r="D44" s="422">
        <f>1/(1+'FLUJO DE CAJA ECON FINANCI'!$D$2)^A44</f>
        <v>0.9234832224823122</v>
      </c>
      <c r="E44" s="422">
        <f t="shared" si="3"/>
        <v>36791.57158369532</v>
      </c>
      <c r="F44" s="422">
        <f t="shared" si="4"/>
        <v>33020.3362703182</v>
      </c>
      <c r="G44" s="321">
        <f t="shared" si="5"/>
        <v>3771.2353133771176</v>
      </c>
    </row>
    <row r="45" spans="1:7" ht="12">
      <c r="A45" s="202">
        <v>9</v>
      </c>
      <c r="B45" s="422">
        <f t="shared" si="6"/>
        <v>39000</v>
      </c>
      <c r="C45" s="422">
        <f>+'FLUJO DE CAJA ECON FINANCI'!K6+'FLUJO DE CAJA ECON FINANCI'!K14+'FLUJO DE CAJA ECON FINANCI'!K15</f>
        <v>35389.332552408174</v>
      </c>
      <c r="D45" s="422">
        <f>1/(1+'FLUJO DE CAJA ECON FINANCI'!$D$2)^A45</f>
        <v>0.9143398242399129</v>
      </c>
      <c r="E45" s="422">
        <f t="shared" si="3"/>
        <v>35659.253145356604</v>
      </c>
      <c r="F45" s="422">
        <f t="shared" si="4"/>
        <v>32357.876105936717</v>
      </c>
      <c r="G45" s="321">
        <f t="shared" si="5"/>
        <v>3301.3770394198873</v>
      </c>
    </row>
    <row r="46" spans="1:7" ht="12">
      <c r="A46" s="202">
        <v>10</v>
      </c>
      <c r="B46" s="422">
        <f t="shared" si="6"/>
        <v>47100</v>
      </c>
      <c r="C46" s="422">
        <f>+'FLUJO DE CAJA ECON FINANCI'!L6+'FLUJO DE CAJA ECON FINANCI'!L14+'FLUJO DE CAJA ECON FINANCI'!L15</f>
        <v>41189.332552408174</v>
      </c>
      <c r="D46" s="422">
        <f>1/(1+'FLUJO DE CAJA ECON FINANCI'!$D$2)^A46</f>
        <v>0.9052869546929831</v>
      </c>
      <c r="E46" s="422">
        <f t="shared" si="3"/>
        <v>42639.0155660395</v>
      </c>
      <c r="F46" s="422">
        <f t="shared" si="4"/>
        <v>37288.16543220615</v>
      </c>
      <c r="G46" s="321">
        <f t="shared" si="5"/>
        <v>5350.850133833352</v>
      </c>
    </row>
    <row r="47" spans="1:7" ht="12">
      <c r="A47" s="202">
        <v>11</v>
      </c>
      <c r="B47" s="422">
        <f t="shared" si="6"/>
        <v>53050</v>
      </c>
      <c r="C47" s="422">
        <f>+'FLUJO DE CAJA ECON FINANCI'!M6+'FLUJO DE CAJA ECON FINANCI'!M14+'FLUJO DE CAJA ECON FINANCI'!M15</f>
        <v>45110.93255240817</v>
      </c>
      <c r="D47" s="422">
        <f>1/(1+'FLUJO DE CAJA ECON FINANCI'!$D$2)^A47</f>
        <v>0.8963237175178053</v>
      </c>
      <c r="E47" s="422">
        <f t="shared" si="3"/>
        <v>47549.97321431957</v>
      </c>
      <c r="F47" s="422">
        <f t="shared" si="4"/>
        <v>40433.99876606947</v>
      </c>
      <c r="G47" s="321">
        <f t="shared" si="5"/>
        <v>7115.974448250105</v>
      </c>
    </row>
    <row r="48" spans="1:7" ht="12">
      <c r="A48" s="202">
        <v>12</v>
      </c>
      <c r="B48" s="422">
        <f t="shared" si="6"/>
        <v>54550</v>
      </c>
      <c r="C48" s="422">
        <f>+'FLUJO DE CAJA ECON FINANCI'!N6+'FLUJO DE CAJA ECON FINANCI'!N14+'FLUJO DE CAJA ECON FINANCI'!N15</f>
        <v>50083.082552408174</v>
      </c>
      <c r="D48" s="422">
        <f>1/(1+'FLUJO DE CAJA ECON FINANCI'!$D$2)^A48</f>
        <v>0.8874492252651537</v>
      </c>
      <c r="E48" s="422">
        <f t="shared" si="3"/>
        <v>48410.355238214135</v>
      </c>
      <c r="F48" s="422">
        <f t="shared" si="4"/>
        <v>44446.19281002537</v>
      </c>
      <c r="G48" s="321">
        <f t="shared" si="5"/>
        <v>3964.1624281887634</v>
      </c>
    </row>
    <row r="49" spans="1:7" ht="12">
      <c r="A49" s="202">
        <v>13</v>
      </c>
      <c r="B49" s="422">
        <f t="shared" si="6"/>
        <v>37490</v>
      </c>
      <c r="C49" s="422">
        <f>+'FLUJO DE CAJA ECON FINANCI'!O6+'FLUJO DE CAJA ECON FINANCI'!O14+'FLUJO DE CAJA ECON FINANCI'!O15</f>
        <v>34322.088552408175</v>
      </c>
      <c r="D49" s="422">
        <f>1/(1+'FLUJO DE CAJA ECON FINANCI'!$D$2)^A49</f>
        <v>0.8786625992724293</v>
      </c>
      <c r="E49" s="422">
        <f t="shared" si="3"/>
        <v>32941.060846723376</v>
      </c>
      <c r="F49" s="422">
        <f t="shared" si="4"/>
        <v>30157.53553991746</v>
      </c>
      <c r="G49" s="321">
        <f t="shared" si="5"/>
        <v>2783.5253068059174</v>
      </c>
    </row>
    <row r="50" spans="1:7" ht="12">
      <c r="A50" s="202">
        <v>14</v>
      </c>
      <c r="B50" s="422">
        <f t="shared" si="6"/>
        <v>37400</v>
      </c>
      <c r="C50" s="422">
        <f>+'FLUJO DE CAJA ECON FINANCI'!P6+'FLUJO DE CAJA ECON FINANCI'!P14+'FLUJO DE CAJA ECON FINANCI'!P15</f>
        <v>34495.89255240818</v>
      </c>
      <c r="D50" s="422">
        <f>1/(1+'FLUJO DE CAJA ECON FINANCI'!$D$2)^A50</f>
        <v>0.8699629695766626</v>
      </c>
      <c r="E50" s="422">
        <f t="shared" si="3"/>
        <v>32536.615062167184</v>
      </c>
      <c r="F50" s="422">
        <f t="shared" si="4"/>
        <v>30010.1491230905</v>
      </c>
      <c r="G50" s="321">
        <f t="shared" si="5"/>
        <v>2526.465939076683</v>
      </c>
    </row>
    <row r="51" spans="1:7" ht="12">
      <c r="A51" s="202">
        <v>15</v>
      </c>
      <c r="B51" s="422">
        <f t="shared" si="6"/>
        <v>36650</v>
      </c>
      <c r="C51" s="422">
        <f>+'FLUJO DE CAJA ECON FINANCI'!Q6+'FLUJO DE CAJA ECON FINANCI'!Q14+'FLUJO DE CAJA ECON FINANCI'!Q15</f>
        <v>34117.37457316785</v>
      </c>
      <c r="D51" s="422">
        <f>1/(1+'FLUJO DE CAJA ECON FINANCI'!$D$2)^A51</f>
        <v>0.8613494748283791</v>
      </c>
      <c r="E51" s="422">
        <f t="shared" si="3"/>
        <v>31568.458252460092</v>
      </c>
      <c r="F51" s="422">
        <f t="shared" si="4"/>
        <v>29386.982671121223</v>
      </c>
      <c r="G51" s="321">
        <f t="shared" si="5"/>
        <v>2181.4755813388692</v>
      </c>
    </row>
    <row r="52" spans="1:7" ht="12">
      <c r="A52" s="202">
        <v>16</v>
      </c>
      <c r="B52" s="422">
        <f t="shared" si="6"/>
        <v>41240</v>
      </c>
      <c r="C52" s="422">
        <f>+'FLUJO DE CAJA ECON FINANCI'!R6+'FLUJO DE CAJA ECON FINANCI'!R14+'FLUJO DE CAJA ECON FINANCI'!R15</f>
        <v>37310.10821005938</v>
      </c>
      <c r="D52" s="422">
        <f>1/(1+'FLUJO DE CAJA ECON FINANCI'!$D$2)^A52</f>
        <v>0.8528212622063156</v>
      </c>
      <c r="E52" s="422">
        <f t="shared" si="3"/>
        <v>35170.34885338845</v>
      </c>
      <c r="F52" s="422">
        <f t="shared" si="4"/>
        <v>31818.853576757057</v>
      </c>
      <c r="G52" s="321">
        <f t="shared" si="5"/>
        <v>3351.4952766313945</v>
      </c>
    </row>
    <row r="53" spans="1:7" ht="12">
      <c r="A53" s="202">
        <v>17</v>
      </c>
      <c r="B53" s="422">
        <f t="shared" si="6"/>
        <v>48690</v>
      </c>
      <c r="C53" s="422">
        <f>+'FLUJO DE CAJA ECON FINANCI'!S6+'FLUJO DE CAJA ECON FINANCI'!S14+'FLUJO DE CAJA ECON FINANCI'!S15</f>
        <v>42739.72168599287</v>
      </c>
      <c r="D53" s="422">
        <f>1/(1+'FLUJO DE CAJA ECON FINANCI'!$D$2)^A53</f>
        <v>0.8443774873329857</v>
      </c>
      <c r="E53" s="422">
        <f t="shared" si="3"/>
        <v>41112.739858243076</v>
      </c>
      <c r="F53" s="422">
        <f t="shared" si="4"/>
        <v>36088.45880652977</v>
      </c>
      <c r="G53" s="321">
        <f t="shared" si="5"/>
        <v>5024.281051713304</v>
      </c>
    </row>
    <row r="54" spans="1:7" ht="12">
      <c r="A54" s="202">
        <v>18</v>
      </c>
      <c r="B54" s="422">
        <f t="shared" si="6"/>
        <v>47650</v>
      </c>
      <c r="C54" s="422">
        <f>+'FLUJO DE CAJA ECON FINANCI'!T6+'FLUJO DE CAJA ECON FINANCI'!T14+'FLUJO DE CAJA ECON FINANCI'!T15</f>
        <v>42386.89499998558</v>
      </c>
      <c r="D54" s="422">
        <f>1/(1+'FLUJO DE CAJA ECON FINANCI'!$D$2)^A54</f>
        <v>0.836017314191075</v>
      </c>
      <c r="E54" s="422">
        <f t="shared" si="3"/>
        <v>39836.22502120472</v>
      </c>
      <c r="F54" s="422">
        <f t="shared" si="4"/>
        <v>35436.17811478705</v>
      </c>
      <c r="G54" s="321">
        <f t="shared" si="5"/>
        <v>4400.046906417672</v>
      </c>
    </row>
    <row r="55" spans="1:7" ht="12">
      <c r="A55" s="202">
        <v>19</v>
      </c>
      <c r="B55" s="422">
        <f t="shared" si="6"/>
        <v>50940</v>
      </c>
      <c r="C55" s="422">
        <f>+'FLUJO DE CAJA ECON FINANCI'!U6+'FLUJO DE CAJA ECON FINANCI'!U14+'FLUJO DE CAJA ECON FINANCI'!U15</f>
        <v>48086.018151048826</v>
      </c>
      <c r="D55" s="422">
        <f>1/(1+'FLUJO DE CAJA ECON FINANCI'!$D$2)^A55</f>
        <v>0.8277399150406685</v>
      </c>
      <c r="E55" s="422">
        <f t="shared" si="3"/>
        <v>42165.07127217165</v>
      </c>
      <c r="F55" s="422">
        <f t="shared" si="4"/>
        <v>39802.7165789932</v>
      </c>
      <c r="G55" s="321">
        <f t="shared" si="5"/>
        <v>2362.3546931784513</v>
      </c>
    </row>
    <row r="56" spans="1:7" ht="12">
      <c r="A56" s="202">
        <v>20</v>
      </c>
      <c r="B56" s="422">
        <f t="shared" si="6"/>
        <v>39840</v>
      </c>
      <c r="C56" s="422">
        <f>+'FLUJO DE CAJA ECON FINANCI'!V6+'FLUJO DE CAJA ECON FINANCI'!V14+'FLUJO DE CAJA ECON FINANCI'!V15</f>
        <v>35751.84113818785</v>
      </c>
      <c r="D56" s="422">
        <f>1/(1+'FLUJO DE CAJA ECON FINANCI'!$D$2)^A56</f>
        <v>0.8195444703372954</v>
      </c>
      <c r="E56" s="422">
        <f t="shared" si="3"/>
        <v>32650.65169823785</v>
      </c>
      <c r="F56" s="422">
        <f t="shared" si="4"/>
        <v>29300.223709179285</v>
      </c>
      <c r="G56" s="321">
        <f t="shared" si="5"/>
        <v>3350.427989058564</v>
      </c>
    </row>
    <row r="57" spans="1:7" ht="12">
      <c r="A57" s="202">
        <v>21</v>
      </c>
      <c r="B57" s="422">
        <f t="shared" si="6"/>
        <v>39000</v>
      </c>
      <c r="C57" s="422">
        <f>+'FLUJO DE CAJA ECON FINANCI'!W6+'FLUJO DE CAJA ECON FINANCI'!W14+'FLUJO DE CAJA ECON FINANCI'!W15</f>
        <v>35384.85396040179</v>
      </c>
      <c r="D57" s="422">
        <f>1/(1+'FLUJO DE CAJA ECON FINANCI'!$D$2)^A57</f>
        <v>0.8114301686507877</v>
      </c>
      <c r="E57" s="422">
        <f t="shared" si="3"/>
        <v>31645.77657738072</v>
      </c>
      <c r="F57" s="422">
        <f t="shared" si="4"/>
        <v>28712.33801677232</v>
      </c>
      <c r="G57" s="321">
        <f t="shared" si="5"/>
        <v>2933.4385606083997</v>
      </c>
    </row>
    <row r="58" spans="1:7" ht="12">
      <c r="A58" s="202">
        <v>22</v>
      </c>
      <c r="B58" s="422">
        <f t="shared" si="6"/>
        <v>47100</v>
      </c>
      <c r="C58" s="422">
        <f>+'FLUJO DE CAJA ECON FINANCI'!X6+'FLUJO DE CAJA ECON FINANCI'!X14+'FLUJO DE CAJA ECON FINANCI'!X15</f>
        <v>41184.82661668375</v>
      </c>
      <c r="D58" s="422">
        <f>1/(1+'FLUJO DE CAJA ECON FINANCI'!$D$2)^A58</f>
        <v>0.803396206584938</v>
      </c>
      <c r="E58" s="422">
        <f t="shared" si="3"/>
        <v>37839.96133015058</v>
      </c>
      <c r="F58" s="422">
        <f t="shared" si="4"/>
        <v>33087.733472702115</v>
      </c>
      <c r="G58" s="321">
        <f t="shared" si="5"/>
        <v>4752.227857448466</v>
      </c>
    </row>
    <row r="59" spans="1:7" ht="12">
      <c r="A59" s="202">
        <v>23</v>
      </c>
      <c r="B59" s="422">
        <f t="shared" si="6"/>
        <v>53050</v>
      </c>
      <c r="C59" s="422">
        <f>+'FLUJO DE CAJA ECON FINANCI'!Y6+'FLUJO DE CAJA ECON FINANCI'!Y14+'FLUJO DE CAJA ECON FINANCI'!Y15</f>
        <v>45106.39910602062</v>
      </c>
      <c r="D59" s="422">
        <f>1/(1+'FLUJO DE CAJA ECON FINANCI'!$D$2)^A59</f>
        <v>0.7954417886979586</v>
      </c>
      <c r="E59" s="422">
        <f t="shared" si="3"/>
        <v>42198.1868904267</v>
      </c>
      <c r="F59" s="422">
        <f t="shared" si="4"/>
        <v>35879.51478661704</v>
      </c>
      <c r="G59" s="321">
        <f t="shared" si="5"/>
        <v>6318.672103809666</v>
      </c>
    </row>
    <row r="60" spans="1:7" ht="12">
      <c r="A60" s="202">
        <v>24</v>
      </c>
      <c r="B60" s="422">
        <f t="shared" si="6"/>
        <v>54550</v>
      </c>
      <c r="C60" s="422">
        <f>+'FLUJO DE CAJA ECON FINANCI'!Z6+'FLUJO DE CAJA ECON FINANCI'!Z14+'FLUJO DE CAJA ECON FINANCI'!Z15</f>
        <v>50078.52142739314</v>
      </c>
      <c r="D60" s="422">
        <f>1/(1+'FLUJO DE CAJA ECON FINANCI'!$D$2)^A60</f>
        <v>0.7875661274237212</v>
      </c>
      <c r="E60" s="422">
        <f t="shared" si="3"/>
        <v>42961.73225096399</v>
      </c>
      <c r="F60" s="422">
        <f t="shared" si="4"/>
        <v>39440.14718767786</v>
      </c>
      <c r="G60" s="321">
        <f t="shared" si="5"/>
        <v>3521.585063286133</v>
      </c>
    </row>
    <row r="61" spans="1:7" ht="12">
      <c r="A61" s="203"/>
      <c r="B61" s="423"/>
      <c r="C61" s="423"/>
      <c r="D61" s="423"/>
      <c r="F61" s="420" t="s">
        <v>261</v>
      </c>
      <c r="G61" s="426">
        <f>SUM(G36:G60)</f>
        <v>25551.02570071366</v>
      </c>
    </row>
    <row r="62" spans="6:7" ht="12">
      <c r="F62" s="420" t="s">
        <v>514</v>
      </c>
      <c r="G62" s="427">
        <f>IRR(G36:G60)</f>
        <v>0.027078437025316315</v>
      </c>
    </row>
  </sheetData>
  <sheetProtection/>
  <mergeCells count="2">
    <mergeCell ref="A1:G1"/>
    <mergeCell ref="A33:G33"/>
  </mergeCells>
  <printOptions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" sqref="C5"/>
    </sheetView>
  </sheetViews>
  <sheetFormatPr defaultColWidth="11.421875" defaultRowHeight="15"/>
  <cols>
    <col min="1" max="1" width="11.57421875" style="4" bestFit="1" customWidth="1"/>
    <col min="2" max="2" width="12.28125" style="4" bestFit="1" customWidth="1"/>
    <col min="3" max="4" width="11.57421875" style="4" bestFit="1" customWidth="1"/>
    <col min="5" max="5" width="14.00390625" style="4" customWidth="1"/>
    <col min="6" max="6" width="15.421875" style="4" customWidth="1"/>
    <col min="7" max="16384" width="11.421875" style="4" customWidth="1"/>
  </cols>
  <sheetData>
    <row r="1" spans="1:6" ht="12">
      <c r="A1" s="436" t="s">
        <v>262</v>
      </c>
      <c r="B1" s="436"/>
      <c r="C1" s="436"/>
      <c r="D1" s="436"/>
      <c r="E1" s="436"/>
      <c r="F1" s="436"/>
    </row>
    <row r="2" spans="1:2" ht="12">
      <c r="A2" s="200"/>
      <c r="B2" s="200"/>
    </row>
    <row r="3" spans="1:6" ht="24">
      <c r="A3" s="201" t="s">
        <v>263</v>
      </c>
      <c r="B3" s="201" t="s">
        <v>249</v>
      </c>
      <c r="C3" s="201" t="s">
        <v>250</v>
      </c>
      <c r="D3" s="279" t="s">
        <v>507</v>
      </c>
      <c r="E3" s="201" t="s">
        <v>264</v>
      </c>
      <c r="F3" s="201" t="s">
        <v>265</v>
      </c>
    </row>
    <row r="4" spans="1:6" ht="12">
      <c r="A4" s="202">
        <v>0</v>
      </c>
      <c r="B4" s="422"/>
      <c r="C4" s="422">
        <f>-'FLUJO DE CAJA ECON FINANCI'!B17</f>
        <v>66834.33333333333</v>
      </c>
      <c r="D4" s="422">
        <f>1/(1+'FLUJO DE CAJA ECON FINANCI'!$D$2)^A4</f>
        <v>1</v>
      </c>
      <c r="E4" s="422">
        <f>B4*D4</f>
        <v>0</v>
      </c>
      <c r="F4" s="422">
        <f>C4*D4</f>
        <v>66834.33333333333</v>
      </c>
    </row>
    <row r="5" spans="1:6" ht="12">
      <c r="A5" s="202">
        <v>1</v>
      </c>
      <c r="B5" s="422">
        <f>'FLUJO DE CAJA ECON FINANCI'!C4</f>
        <v>37490</v>
      </c>
      <c r="C5" s="422">
        <f>'FLUJO DE CAJA ECON FINANCI'!C6</f>
        <v>33632.37772222222</v>
      </c>
      <c r="D5" s="422">
        <f>1/(1+'FLUJO DE CAJA ECON FINANCI'!$D$2)^A5</f>
        <v>0.9900990099009901</v>
      </c>
      <c r="E5" s="422">
        <f aca="true" t="shared" si="0" ref="E5:E28">B5*D5</f>
        <v>37118.81188118812</v>
      </c>
      <c r="F5" s="422">
        <f aca="true" t="shared" si="1" ref="F5:F28">C5*D5</f>
        <v>33299.383883388335</v>
      </c>
    </row>
    <row r="6" spans="1:6" ht="12">
      <c r="A6" s="202">
        <v>2</v>
      </c>
      <c r="B6" s="422">
        <f>'FLUJO DE CAJA ECON FINANCI'!D4</f>
        <v>37400</v>
      </c>
      <c r="C6" s="422">
        <f>'FLUJO DE CAJA ECON FINANCI'!D6</f>
        <v>33777.68172222222</v>
      </c>
      <c r="D6" s="422">
        <f>1/(1+'FLUJO DE CAJA ECON FINANCI'!$D$2)^A6</f>
        <v>0.9802960494069208</v>
      </c>
      <c r="E6" s="422">
        <f t="shared" si="0"/>
        <v>36663.07224781884</v>
      </c>
      <c r="F6" s="422">
        <f t="shared" si="1"/>
        <v>33112.127950418806</v>
      </c>
    </row>
    <row r="7" spans="1:6" ht="12">
      <c r="A7" s="202">
        <v>3</v>
      </c>
      <c r="B7" s="422">
        <f>'FLUJO DE CAJA ECON FINANCI'!E4</f>
        <v>36650</v>
      </c>
      <c r="C7" s="422">
        <f>'FLUJO DE CAJA ECON FINANCI'!E6</f>
        <v>33365.48172222222</v>
      </c>
      <c r="D7" s="422">
        <f>1/(1+'FLUJO DE CAJA ECON FINANCI'!$D$2)^A7</f>
        <v>0.9705901479276445</v>
      </c>
      <c r="E7" s="422">
        <f t="shared" si="0"/>
        <v>35572.128921548174</v>
      </c>
      <c r="F7" s="422">
        <f t="shared" si="1"/>
        <v>32384.207840448784</v>
      </c>
    </row>
    <row r="8" spans="1:6" ht="12">
      <c r="A8" s="202">
        <v>4</v>
      </c>
      <c r="B8" s="422">
        <f>'FLUJO DE CAJA ECON FINANCI'!F4</f>
        <v>41240</v>
      </c>
      <c r="C8" s="422">
        <f>'FLUJO DE CAJA ECON FINANCI'!F6</f>
        <v>36558.24172222222</v>
      </c>
      <c r="D8" s="422">
        <f>1/(1+'FLUJO DE CAJA ECON FINANCI'!$D$2)^A8</f>
        <v>0.9609803444828162</v>
      </c>
      <c r="E8" s="422">
        <f t="shared" si="0"/>
        <v>39630.82940647134</v>
      </c>
      <c r="F8" s="422">
        <f t="shared" si="1"/>
        <v>35131.751723907175</v>
      </c>
    </row>
    <row r="9" spans="1:6" ht="12">
      <c r="A9" s="202">
        <v>5</v>
      </c>
      <c r="B9" s="422">
        <f>'FLUJO DE CAJA ECON FINANCI'!G4</f>
        <v>48690</v>
      </c>
      <c r="C9" s="422">
        <f>'FLUJO DE CAJA ECON FINANCI'!G6</f>
        <v>41987.88172222222</v>
      </c>
      <c r="D9" s="422">
        <f>1/(1+'FLUJO DE CAJA ECON FINANCI'!$D$2)^A9</f>
        <v>0.9514656876067489</v>
      </c>
      <c r="E9" s="422">
        <f t="shared" si="0"/>
        <v>46326.8643295726</v>
      </c>
      <c r="F9" s="422">
        <f t="shared" si="1"/>
        <v>39950.02875398501</v>
      </c>
    </row>
    <row r="10" spans="1:6" ht="12">
      <c r="A10" s="202">
        <v>6</v>
      </c>
      <c r="B10" s="422">
        <f>'FLUJO DE CAJA ECON FINANCI'!H4</f>
        <v>47650</v>
      </c>
      <c r="C10" s="422">
        <f>'FLUJO DE CAJA ECON FINANCI'!H6</f>
        <v>41635.08172222222</v>
      </c>
      <c r="D10" s="422">
        <f>1/(1+'FLUJO DE CAJA ECON FINANCI'!$D$2)^A10</f>
        <v>0.9420452352542066</v>
      </c>
      <c r="E10" s="422">
        <f t="shared" si="0"/>
        <v>44888.45545986294</v>
      </c>
      <c r="F10" s="422">
        <f t="shared" si="1"/>
        <v>39222.13035583895</v>
      </c>
    </row>
    <row r="11" spans="1:6" ht="12">
      <c r="A11" s="202">
        <v>7</v>
      </c>
      <c r="B11" s="422">
        <f>'FLUJO DE CAJA ECON FINANCI'!I4</f>
        <v>50940</v>
      </c>
      <c r="C11" s="422">
        <f>'FLUJO DE CAJA ECON FINANCI'!I6</f>
        <v>47334.23172222222</v>
      </c>
      <c r="D11" s="422">
        <f>1/(1+'FLUJO DE CAJA ECON FINANCI'!$D$2)^A11</f>
        <v>0.9327180547071355</v>
      </c>
      <c r="E11" s="422">
        <f t="shared" si="0"/>
        <v>47512.65770678149</v>
      </c>
      <c r="F11" s="422">
        <f t="shared" si="1"/>
        <v>44149.49253300789</v>
      </c>
    </row>
    <row r="12" spans="1:6" ht="12">
      <c r="A12" s="202">
        <v>8</v>
      </c>
      <c r="B12" s="422">
        <f>'FLUJO DE CAJA ECON FINANCI'!J4</f>
        <v>39840</v>
      </c>
      <c r="C12" s="422">
        <f>'FLUJO DE CAJA ECON FINANCI'!J6</f>
        <v>35000.08172222222</v>
      </c>
      <c r="D12" s="422">
        <f>1/(1+'FLUJO DE CAJA ECON FINANCI'!$D$2)^A12</f>
        <v>0.9234832224823122</v>
      </c>
      <c r="E12" s="422">
        <f t="shared" si="0"/>
        <v>36791.57158369532</v>
      </c>
      <c r="F12" s="422">
        <f t="shared" si="1"/>
        <v>32321.988255982047</v>
      </c>
    </row>
    <row r="13" spans="1:6" ht="12">
      <c r="A13" s="202">
        <v>9</v>
      </c>
      <c r="B13" s="422">
        <f>'FLUJO DE CAJA ECON FINANCI'!K4</f>
        <v>39000</v>
      </c>
      <c r="C13" s="422">
        <f>'FLUJO DE CAJA ECON FINANCI'!K6</f>
        <v>34633.12172222222</v>
      </c>
      <c r="D13" s="422">
        <f>1/(1+'FLUJO DE CAJA ECON FINANCI'!$D$2)^A13</f>
        <v>0.9143398242399129</v>
      </c>
      <c r="E13" s="422">
        <f t="shared" si="0"/>
        <v>35659.253145356604</v>
      </c>
      <c r="F13" s="422">
        <f t="shared" si="1"/>
        <v>31666.442428376173</v>
      </c>
    </row>
    <row r="14" spans="1:6" ht="12">
      <c r="A14" s="202">
        <v>10</v>
      </c>
      <c r="B14" s="422">
        <f>'FLUJO DE CAJA ECON FINANCI'!L4</f>
        <v>47100</v>
      </c>
      <c r="C14" s="422">
        <f>'FLUJO DE CAJA ECON FINANCI'!L6</f>
        <v>40433.12172222222</v>
      </c>
      <c r="D14" s="422">
        <f>1/(1+'FLUJO DE CAJA ECON FINANCI'!$D$2)^A14</f>
        <v>0.9052869546929831</v>
      </c>
      <c r="E14" s="422">
        <f t="shared" si="0"/>
        <v>42639.0155660395</v>
      </c>
      <c r="F14" s="422">
        <f t="shared" si="1"/>
        <v>36603.57763264126</v>
      </c>
    </row>
    <row r="15" spans="1:6" ht="12">
      <c r="A15" s="202">
        <v>11</v>
      </c>
      <c r="B15" s="422">
        <f>'FLUJO DE CAJA ECON FINANCI'!M4</f>
        <v>53050</v>
      </c>
      <c r="C15" s="422">
        <f>'FLUJO DE CAJA ECON FINANCI'!M6</f>
        <v>44354.72172222222</v>
      </c>
      <c r="D15" s="422">
        <f>1/(1+'FLUJO DE CAJA ECON FINANCI'!$D$2)^A15</f>
        <v>0.8963237175178053</v>
      </c>
      <c r="E15" s="422">
        <f t="shared" si="0"/>
        <v>47549.97321431957</v>
      </c>
      <c r="F15" s="422">
        <f t="shared" si="1"/>
        <v>39756.189063529964</v>
      </c>
    </row>
    <row r="16" spans="1:6" ht="12">
      <c r="A16" s="202">
        <v>12</v>
      </c>
      <c r="B16" s="422">
        <f>'FLUJO DE CAJA ECON FINANCI'!N4</f>
        <v>54550</v>
      </c>
      <c r="C16" s="422">
        <f>'FLUJO DE CAJA ECON FINANCI'!N6</f>
        <v>49326.87172222222</v>
      </c>
      <c r="D16" s="422">
        <f>1/(1+'FLUJO DE CAJA ECON FINANCI'!$D$2)^A16</f>
        <v>0.8874492252651537</v>
      </c>
      <c r="E16" s="422">
        <f t="shared" si="0"/>
        <v>48410.355238214135</v>
      </c>
      <c r="F16" s="422">
        <f t="shared" si="1"/>
        <v>43775.094094639724</v>
      </c>
    </row>
    <row r="17" spans="1:6" ht="12">
      <c r="A17" s="202">
        <v>13</v>
      </c>
      <c r="B17" s="422">
        <f>'FLUJO DE CAJA ECON FINANCI'!O4</f>
        <v>37490</v>
      </c>
      <c r="C17" s="422">
        <f>'FLUJO DE CAJA ECON FINANCI'!O6</f>
        <v>33565.87772222222</v>
      </c>
      <c r="D17" s="422">
        <f>1/(1+'FLUJO DE CAJA ECON FINANCI'!$D$2)^A17</f>
        <v>0.8786625992724293</v>
      </c>
      <c r="E17" s="422">
        <f t="shared" si="0"/>
        <v>32941.060846723376</v>
      </c>
      <c r="F17" s="422">
        <f t="shared" si="1"/>
        <v>29493.081366268303</v>
      </c>
    </row>
    <row r="18" spans="1:6" ht="12">
      <c r="A18" s="202">
        <v>14</v>
      </c>
      <c r="B18" s="422">
        <f>'FLUJO DE CAJA ECON FINANCI'!P4</f>
        <v>37400</v>
      </c>
      <c r="C18" s="422">
        <f>'FLUJO DE CAJA ECON FINANCI'!P6</f>
        <v>33739.68172222222</v>
      </c>
      <c r="D18" s="422">
        <f>1/(1+'FLUJO DE CAJA ECON FINANCI'!$D$2)^A18</f>
        <v>0.8699629695766626</v>
      </c>
      <c r="E18" s="422">
        <f t="shared" si="0"/>
        <v>32536.615062167184</v>
      </c>
      <c r="F18" s="422">
        <f t="shared" si="1"/>
        <v>29352.273703635892</v>
      </c>
    </row>
    <row r="19" spans="1:6" ht="12">
      <c r="A19" s="202">
        <v>15</v>
      </c>
      <c r="B19" s="422">
        <f>'FLUJO DE CAJA ECON FINANCI'!Q4</f>
        <v>36650</v>
      </c>
      <c r="C19" s="422">
        <f>'FLUJO DE CAJA ECON FINANCI'!Q6</f>
        <v>33365.48172222222</v>
      </c>
      <c r="D19" s="422">
        <f>1/(1+'FLUJO DE CAJA ECON FINANCI'!$D$2)^A19</f>
        <v>0.8613494748283791</v>
      </c>
      <c r="E19" s="422">
        <f t="shared" si="0"/>
        <v>31568.458252460092</v>
      </c>
      <c r="F19" s="422">
        <f t="shared" si="1"/>
        <v>28739.34015883199</v>
      </c>
    </row>
    <row r="20" spans="1:6" ht="12">
      <c r="A20" s="202">
        <v>16</v>
      </c>
      <c r="B20" s="422">
        <f>'FLUJO DE CAJA ECON FINANCI'!R4</f>
        <v>41240</v>
      </c>
      <c r="C20" s="422">
        <f>'FLUJO DE CAJA ECON FINANCI'!R6</f>
        <v>36558.24172222222</v>
      </c>
      <c r="D20" s="422">
        <f>1/(1+'FLUJO DE CAJA ECON FINANCI'!$D$2)^A20</f>
        <v>0.8528212622063156</v>
      </c>
      <c r="E20" s="422">
        <f t="shared" si="0"/>
        <v>35170.34885338845</v>
      </c>
      <c r="F20" s="422">
        <f t="shared" si="1"/>
        <v>31177.645849589142</v>
      </c>
    </row>
    <row r="21" spans="1:6" ht="12">
      <c r="A21" s="202">
        <v>17</v>
      </c>
      <c r="B21" s="422">
        <f>'FLUJO DE CAJA ECON FINANCI'!S4</f>
        <v>48690</v>
      </c>
      <c r="C21" s="422">
        <f>'FLUJO DE CAJA ECON FINANCI'!S6</f>
        <v>41987.88172222222</v>
      </c>
      <c r="D21" s="422">
        <f>1/(1+'FLUJO DE CAJA ECON FINANCI'!$D$2)^A21</f>
        <v>0.8443774873329857</v>
      </c>
      <c r="E21" s="422">
        <f t="shared" si="0"/>
        <v>41112.739858243076</v>
      </c>
      <c r="F21" s="422">
        <f t="shared" si="1"/>
        <v>35453.62206704459</v>
      </c>
    </row>
    <row r="22" spans="1:6" ht="12">
      <c r="A22" s="202">
        <v>18</v>
      </c>
      <c r="B22" s="422">
        <f>'FLUJO DE CAJA ECON FINANCI'!T4</f>
        <v>47650</v>
      </c>
      <c r="C22" s="422">
        <f>'FLUJO DE CAJA ECON FINANCI'!T6</f>
        <v>41635.08172222222</v>
      </c>
      <c r="D22" s="422">
        <f>1/(1+'FLUJO DE CAJA ECON FINANCI'!$D$2)^A22</f>
        <v>0.836017314191075</v>
      </c>
      <c r="E22" s="422">
        <f t="shared" si="0"/>
        <v>39836.22502120472</v>
      </c>
      <c r="F22" s="422">
        <f t="shared" si="1"/>
        <v>34807.649197538136</v>
      </c>
    </row>
    <row r="23" spans="1:6" ht="12">
      <c r="A23" s="202">
        <v>19</v>
      </c>
      <c r="B23" s="422">
        <f>'FLUJO DE CAJA ECON FINANCI'!U4</f>
        <v>50940</v>
      </c>
      <c r="C23" s="422">
        <f>'FLUJO DE CAJA ECON FINANCI'!U6</f>
        <v>47334.23172222222</v>
      </c>
      <c r="D23" s="422">
        <f>1/(1+'FLUJO DE CAJA ECON FINANCI'!$D$2)^A23</f>
        <v>0.8277399150406685</v>
      </c>
      <c r="E23" s="422">
        <f t="shared" si="0"/>
        <v>42165.07127217165</v>
      </c>
      <c r="F23" s="422">
        <f t="shared" si="1"/>
        <v>39180.43294426754</v>
      </c>
    </row>
    <row r="24" spans="1:6" ht="12">
      <c r="A24" s="202">
        <v>20</v>
      </c>
      <c r="B24" s="422">
        <f>'FLUJO DE CAJA ECON FINANCI'!V4</f>
        <v>39840</v>
      </c>
      <c r="C24" s="422">
        <f>'FLUJO DE CAJA ECON FINANCI'!V6</f>
        <v>35000.08172222222</v>
      </c>
      <c r="D24" s="422">
        <f>1/(1+'FLUJO DE CAJA ECON FINANCI'!$D$2)^A24</f>
        <v>0.8195444703372954</v>
      </c>
      <c r="E24" s="422">
        <f t="shared" si="0"/>
        <v>32650.65169823785</v>
      </c>
      <c r="F24" s="422">
        <f t="shared" si="1"/>
        <v>28684.12343680066</v>
      </c>
    </row>
    <row r="25" spans="1:6" ht="12">
      <c r="A25" s="202">
        <v>21</v>
      </c>
      <c r="B25" s="422">
        <f>'FLUJO DE CAJA ECON FINANCI'!W4</f>
        <v>39000</v>
      </c>
      <c r="C25" s="422">
        <f>'FLUJO DE CAJA ECON FINANCI'!W6</f>
        <v>34633.12172222222</v>
      </c>
      <c r="D25" s="422">
        <f>1/(1+'FLUJO DE CAJA ECON FINANCI'!$D$2)^A25</f>
        <v>0.8114301686507877</v>
      </c>
      <c r="E25" s="422">
        <f t="shared" si="0"/>
        <v>31645.77657738072</v>
      </c>
      <c r="F25" s="422">
        <f t="shared" si="1"/>
        <v>28102.35979996603</v>
      </c>
    </row>
    <row r="26" spans="1:6" ht="12">
      <c r="A26" s="202">
        <v>22</v>
      </c>
      <c r="B26" s="422">
        <f>'FLUJO DE CAJA ECON FINANCI'!X4</f>
        <v>47100</v>
      </c>
      <c r="C26" s="422">
        <f>'FLUJO DE CAJA ECON FINANCI'!X6</f>
        <v>40433.12172222222</v>
      </c>
      <c r="D26" s="422">
        <f>1/(1+'FLUJO DE CAJA ECON FINANCI'!$D$2)^A26</f>
        <v>0.803396206584938</v>
      </c>
      <c r="E26" s="422">
        <f t="shared" si="0"/>
        <v>37839.96133015058</v>
      </c>
      <c r="F26" s="422">
        <f t="shared" si="1"/>
        <v>32483.816612020386</v>
      </c>
    </row>
    <row r="27" spans="1:6" ht="12">
      <c r="A27" s="202">
        <v>23</v>
      </c>
      <c r="B27" s="422">
        <f>'FLUJO DE CAJA ECON FINANCI'!Y4</f>
        <v>53050</v>
      </c>
      <c r="C27" s="422">
        <f>'FLUJO DE CAJA ECON FINANCI'!Y6</f>
        <v>44354.72172222222</v>
      </c>
      <c r="D27" s="422">
        <f>1/(1+'FLUJO DE CAJA ECON FINANCI'!$D$2)^A27</f>
        <v>0.7954417886979586</v>
      </c>
      <c r="E27" s="422">
        <f t="shared" si="0"/>
        <v>42198.1868904267</v>
      </c>
      <c r="F27" s="422">
        <f t="shared" si="1"/>
        <v>35281.599183924634</v>
      </c>
    </row>
    <row r="28" spans="1:6" ht="12">
      <c r="A28" s="202">
        <v>24</v>
      </c>
      <c r="B28" s="422">
        <f>'FLUJO DE CAJA ECON FINANCI'!Z4</f>
        <v>54550</v>
      </c>
      <c r="C28" s="422">
        <f>'FLUJO DE CAJA ECON FINANCI'!Z6</f>
        <v>49326.87172222222</v>
      </c>
      <c r="D28" s="422">
        <f>1/(1+'FLUJO DE CAJA ECON FINANCI'!$D$2)^A28</f>
        <v>0.7875661274237212</v>
      </c>
      <c r="E28" s="422">
        <f t="shared" si="0"/>
        <v>42961.73225096399</v>
      </c>
      <c r="F28" s="422">
        <f t="shared" si="1"/>
        <v>38848.173340197216</v>
      </c>
    </row>
    <row r="29" spans="1:6" ht="12">
      <c r="A29" s="203"/>
      <c r="B29" s="423"/>
      <c r="C29" s="423"/>
      <c r="D29" s="423"/>
      <c r="E29" s="424">
        <f>SUM(E4:E28)</f>
        <v>941389.816614387</v>
      </c>
      <c r="F29" s="424">
        <f>SUM(F4:F28)</f>
        <v>899810.8655095819</v>
      </c>
    </row>
    <row r="30" spans="5:7" ht="12">
      <c r="E30" s="51" t="s">
        <v>266</v>
      </c>
      <c r="F30" s="204">
        <f>E29/F29</f>
        <v>1.0462085452605177</v>
      </c>
      <c r="G30" s="4" t="s">
        <v>267</v>
      </c>
    </row>
    <row r="31" ht="12">
      <c r="G31" s="4" t="s">
        <v>268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4:L40"/>
  <sheetViews>
    <sheetView showGridLines="0" zoomScalePageLayoutView="0" workbookViewId="0" topLeftCell="A1">
      <selection activeCell="H20" sqref="H20"/>
    </sheetView>
  </sheetViews>
  <sheetFormatPr defaultColWidth="11.421875" defaultRowHeight="15"/>
  <cols>
    <col min="1" max="1" width="27.28125" style="4" bestFit="1" customWidth="1"/>
    <col min="2" max="2" width="11.57421875" style="4" bestFit="1" customWidth="1"/>
    <col min="3" max="3" width="12.7109375" style="4" bestFit="1" customWidth="1"/>
    <col min="4" max="4" width="11.140625" style="4" bestFit="1" customWidth="1"/>
    <col min="5" max="5" width="12.421875" style="4" bestFit="1" customWidth="1"/>
    <col min="6" max="6" width="8.421875" style="4" bestFit="1" customWidth="1"/>
    <col min="7" max="7" width="9.7109375" style="4" bestFit="1" customWidth="1"/>
    <col min="8" max="8" width="4.140625" style="4" customWidth="1"/>
    <col min="9" max="9" width="12.28125" style="4" bestFit="1" customWidth="1"/>
    <col min="10" max="10" width="3.421875" style="4" customWidth="1"/>
    <col min="11" max="11" width="11.28125" style="4" customWidth="1"/>
    <col min="12" max="16384" width="11.421875" style="4" customWidth="1"/>
  </cols>
  <sheetData>
    <row r="4" spans="1:11" ht="36">
      <c r="A4" s="467" t="s">
        <v>269</v>
      </c>
      <c r="B4" s="467" t="s">
        <v>270</v>
      </c>
      <c r="C4" s="467" t="s">
        <v>271</v>
      </c>
      <c r="D4" s="467" t="s">
        <v>272</v>
      </c>
      <c r="E4" s="467" t="s">
        <v>273</v>
      </c>
      <c r="F4" s="467" t="s">
        <v>274</v>
      </c>
      <c r="G4" s="467" t="s">
        <v>275</v>
      </c>
      <c r="I4" s="467" t="s">
        <v>276</v>
      </c>
      <c r="K4" s="467" t="s">
        <v>277</v>
      </c>
    </row>
    <row r="5" spans="1:11" ht="12">
      <c r="A5" s="205" t="str">
        <f>'INGRESO POR VENTAS'!A4</f>
        <v>Repostero de 2m</v>
      </c>
      <c r="B5" s="384">
        <f>ROUND(AVERAGE('INGRESO POR VENTAS'!B4:M4),0)</f>
        <v>3</v>
      </c>
      <c r="C5" s="385">
        <f aca="true" t="shared" si="0" ref="C5:C15">$C$16*B5/$B$16</f>
        <v>0.024</v>
      </c>
      <c r="D5" s="280">
        <f>'INGRESO POR VENTAS'!B20</f>
        <v>1700</v>
      </c>
      <c r="E5" s="281">
        <f>'ELAB DE PRECIO'!E4</f>
        <v>1092.7826866414878</v>
      </c>
      <c r="F5" s="282">
        <f>D5-E5</f>
        <v>607.2173133585122</v>
      </c>
      <c r="G5" s="282">
        <f>C5*F5</f>
        <v>14.573215520604293</v>
      </c>
      <c r="I5" s="206">
        <f aca="true" t="shared" si="1" ref="I5:I15">($B$20/$G$16)*C5</f>
        <v>1.6659384484051705</v>
      </c>
      <c r="J5" s="207"/>
      <c r="K5" s="208">
        <f>I5*D5</f>
        <v>2832.0953622887896</v>
      </c>
    </row>
    <row r="6" spans="1:11" ht="12">
      <c r="A6" s="205" t="str">
        <f>'INGRESO POR VENTAS'!A5</f>
        <v>Closet</v>
      </c>
      <c r="B6" s="384">
        <f>ROUND(AVERAGE('INGRESO POR VENTAS'!B5:M5),0)</f>
        <v>4</v>
      </c>
      <c r="C6" s="385">
        <f t="shared" si="0"/>
        <v>0.032</v>
      </c>
      <c r="D6" s="280">
        <f>'INGRESO POR VENTAS'!B21</f>
        <v>800</v>
      </c>
      <c r="E6" s="281">
        <f>'ELAB DE PRECIO'!E23</f>
        <v>378.72268664148777</v>
      </c>
      <c r="F6" s="282">
        <f>D6-E6</f>
        <v>421.27731335851223</v>
      </c>
      <c r="G6" s="282">
        <f>C6*F6</f>
        <v>13.480874027472392</v>
      </c>
      <c r="I6" s="206">
        <f t="shared" si="1"/>
        <v>2.221251264540227</v>
      </c>
      <c r="J6" s="207"/>
      <c r="K6" s="208">
        <f>I6*D6</f>
        <v>1777.0010116321816</v>
      </c>
    </row>
    <row r="7" spans="1:11" ht="12">
      <c r="A7" s="19" t="str">
        <f>'INGRESO POR VENTAS'!A6</f>
        <v>Centro de Entretenimiento Peq</v>
      </c>
      <c r="B7" s="384">
        <f>ROUND(AVERAGE('INGRESO POR VENTAS'!B6:M6),0)</f>
        <v>2</v>
      </c>
      <c r="C7" s="385">
        <f t="shared" si="0"/>
        <v>0.016</v>
      </c>
      <c r="D7" s="280">
        <f>'INGRESO POR VENTAS'!B22</f>
        <v>600</v>
      </c>
      <c r="E7" s="281">
        <f>'ELAB DE PRECIO'!E39</f>
        <v>391.21768664148766</v>
      </c>
      <c r="F7" s="282">
        <f>D7-E7</f>
        <v>208.78231335851234</v>
      </c>
      <c r="G7" s="282">
        <f>C7*F7</f>
        <v>3.3405170137361977</v>
      </c>
      <c r="I7" s="206">
        <f t="shared" si="1"/>
        <v>1.1106256322701136</v>
      </c>
      <c r="J7" s="207"/>
      <c r="K7" s="208">
        <f>I7*D7</f>
        <v>666.3753793620681</v>
      </c>
    </row>
    <row r="8" spans="1:11" ht="12">
      <c r="A8" s="19" t="str">
        <f>'INGRESO POR VENTAS'!A7</f>
        <v>Centro de Entretenimiento Grand</v>
      </c>
      <c r="B8" s="384">
        <f>ROUND(AVERAGE('INGRESO POR VENTAS'!B7:M7),0)</f>
        <v>2</v>
      </c>
      <c r="C8" s="385">
        <f t="shared" si="0"/>
        <v>0.016</v>
      </c>
      <c r="D8" s="280">
        <f>'INGRESO POR VENTAS'!B23</f>
        <v>3000</v>
      </c>
      <c r="E8" s="281">
        <f>'ELAB DE PRECIO'!E54</f>
        <v>1640.8576866414876</v>
      </c>
      <c r="F8" s="282">
        <f>D8-E8</f>
        <v>1359.1423133585124</v>
      </c>
      <c r="G8" s="282">
        <f>C8*F8</f>
        <v>21.7462770137362</v>
      </c>
      <c r="I8" s="206">
        <f t="shared" si="1"/>
        <v>1.1106256322701136</v>
      </c>
      <c r="J8" s="207"/>
      <c r="K8" s="208">
        <f>I8*D8</f>
        <v>3331.876896810341</v>
      </c>
    </row>
    <row r="9" spans="1:11" ht="12">
      <c r="A9" s="19" t="str">
        <f>'INGRESO POR VENTAS'!A8</f>
        <v>Escritorio</v>
      </c>
      <c r="B9" s="384">
        <f>ROUND(AVERAGE('INGRESO POR VENTAS'!B8:M8),0)</f>
        <v>3</v>
      </c>
      <c r="C9" s="385">
        <f t="shared" si="0"/>
        <v>0.024</v>
      </c>
      <c r="D9" s="280">
        <f>'INGRESO POR VENTAS'!B24</f>
        <v>550</v>
      </c>
      <c r="E9" s="281">
        <f>'ELAB DE PRECIO'!E79</f>
        <v>344.12168664148766</v>
      </c>
      <c r="F9" s="282">
        <f aca="true" t="shared" si="2" ref="F9:F15">D9-E9</f>
        <v>205.87831335851234</v>
      </c>
      <c r="G9" s="282">
        <f aca="true" t="shared" si="3" ref="G9:G15">C9*F9</f>
        <v>4.941079520604297</v>
      </c>
      <c r="I9" s="206">
        <f t="shared" si="1"/>
        <v>1.6659384484051705</v>
      </c>
      <c r="J9" s="207"/>
      <c r="K9" s="208">
        <f aca="true" t="shared" si="4" ref="K9:K15">I9*D9</f>
        <v>916.2661466228437</v>
      </c>
    </row>
    <row r="10" spans="1:11" ht="12">
      <c r="A10" s="19" t="str">
        <f>'INGRESO POR VENTAS'!A9</f>
        <v>Set de Cama</v>
      </c>
      <c r="B10" s="384">
        <f>ROUND(AVERAGE('INGRESO POR VENTAS'!B9:M9),0)</f>
        <v>4</v>
      </c>
      <c r="C10" s="385">
        <f t="shared" si="0"/>
        <v>0.032</v>
      </c>
      <c r="D10" s="280">
        <f>'INGRESO POR VENTAS'!B25</f>
        <v>750</v>
      </c>
      <c r="E10" s="281">
        <f>'ELAB DE PRECIO'!E95</f>
        <v>450.65768664148766</v>
      </c>
      <c r="F10" s="282">
        <f t="shared" si="2"/>
        <v>299.34231335851234</v>
      </c>
      <c r="G10" s="282">
        <f t="shared" si="3"/>
        <v>9.578954027472395</v>
      </c>
      <c r="I10" s="206">
        <f t="shared" si="1"/>
        <v>2.221251264540227</v>
      </c>
      <c r="J10" s="207"/>
      <c r="K10" s="208">
        <f t="shared" si="4"/>
        <v>1665.9384484051704</v>
      </c>
    </row>
    <row r="11" spans="1:11" ht="12">
      <c r="A11" s="19" t="str">
        <f>'INGRESO POR VENTAS'!A10</f>
        <v>Estante</v>
      </c>
      <c r="B11" s="384">
        <f>ROUND(AVERAGE('INGRESO POR VENTAS'!B10:M10),0)</f>
        <v>6</v>
      </c>
      <c r="C11" s="385">
        <f t="shared" si="0"/>
        <v>0.048</v>
      </c>
      <c r="D11" s="280">
        <f>'INGRESO POR VENTAS'!B26</f>
        <v>280</v>
      </c>
      <c r="E11" s="281">
        <f>'ELAB DE PRECIO'!E109</f>
        <v>206.2776866414876</v>
      </c>
      <c r="F11" s="282">
        <f t="shared" si="2"/>
        <v>73.7223133585124</v>
      </c>
      <c r="G11" s="282">
        <f t="shared" si="3"/>
        <v>3.538671041208595</v>
      </c>
      <c r="I11" s="206">
        <f t="shared" si="1"/>
        <v>3.331876896810341</v>
      </c>
      <c r="J11" s="207"/>
      <c r="K11" s="208">
        <f t="shared" si="4"/>
        <v>932.9255311068955</v>
      </c>
    </row>
    <row r="12" spans="1:11" ht="12">
      <c r="A12" s="19" t="str">
        <f>'INGRESO POR VENTAS'!A11</f>
        <v>MELAMINE DURAPLAC</v>
      </c>
      <c r="B12" s="384">
        <f>ROUND(AVERAGE('INGRESO POR VENTAS'!B11:M11),0)</f>
        <v>31</v>
      </c>
      <c r="C12" s="385">
        <f t="shared" si="0"/>
        <v>0.248</v>
      </c>
      <c r="D12" s="280">
        <f>'INGRESO POR VENTAS'!B27</f>
        <v>225</v>
      </c>
      <c r="E12" s="281">
        <f>'ELAB DE PRECIO'!B120</f>
        <v>160</v>
      </c>
      <c r="F12" s="282">
        <f t="shared" si="2"/>
        <v>65</v>
      </c>
      <c r="G12" s="282">
        <f t="shared" si="3"/>
        <v>16.12</v>
      </c>
      <c r="I12" s="206">
        <f t="shared" si="1"/>
        <v>17.21469730018676</v>
      </c>
      <c r="J12" s="207"/>
      <c r="K12" s="208">
        <f t="shared" si="4"/>
        <v>3873.306892542021</v>
      </c>
    </row>
    <row r="13" spans="1:11" ht="12">
      <c r="A13" s="19" t="str">
        <f>'INGRESO POR VENTAS'!A12</f>
        <v>MELAMINE MASSISA</v>
      </c>
      <c r="B13" s="384">
        <f>ROUND(AVERAGE('INGRESO POR VENTAS'!B12:M12),0)</f>
        <v>24</v>
      </c>
      <c r="C13" s="385">
        <f t="shared" si="0"/>
        <v>0.192</v>
      </c>
      <c r="D13" s="280">
        <f>'INGRESO POR VENTAS'!B28</f>
        <v>220</v>
      </c>
      <c r="E13" s="281">
        <f>'ELAB DE PRECIO'!B121</f>
        <v>155</v>
      </c>
      <c r="F13" s="282">
        <f t="shared" si="2"/>
        <v>65</v>
      </c>
      <c r="G13" s="282">
        <f t="shared" si="3"/>
        <v>12.48</v>
      </c>
      <c r="I13" s="206">
        <f t="shared" si="1"/>
        <v>13.327507587241364</v>
      </c>
      <c r="J13" s="207"/>
      <c r="K13" s="208">
        <f t="shared" si="4"/>
        <v>2932.0516691931</v>
      </c>
    </row>
    <row r="14" spans="1:11" ht="12">
      <c r="A14" s="19" t="str">
        <f>'INGRESO POR VENTAS'!A13</f>
        <v>MELAMINE DURATEX</v>
      </c>
      <c r="B14" s="384">
        <f>ROUND(AVERAGE('INGRESO POR VENTAS'!B13:M13),0)</f>
        <v>45</v>
      </c>
      <c r="C14" s="385">
        <f t="shared" si="0"/>
        <v>0.36</v>
      </c>
      <c r="D14" s="280">
        <f>'INGRESO POR VENTAS'!B29</f>
        <v>195</v>
      </c>
      <c r="E14" s="281">
        <f>'ELAB DE PRECIO'!B122</f>
        <v>140</v>
      </c>
      <c r="F14" s="282">
        <f t="shared" si="2"/>
        <v>55</v>
      </c>
      <c r="G14" s="282">
        <f t="shared" si="3"/>
        <v>19.8</v>
      </c>
      <c r="I14" s="206">
        <f t="shared" si="1"/>
        <v>24.989076726077553</v>
      </c>
      <c r="J14" s="207"/>
      <c r="K14" s="208">
        <f t="shared" si="4"/>
        <v>4872.869961585123</v>
      </c>
    </row>
    <row r="15" spans="1:11" ht="12">
      <c r="A15" s="19" t="str">
        <f>'INGRESO POR VENTAS'!A14</f>
        <v>ACCESORIOS</v>
      </c>
      <c r="B15" s="384">
        <f>ROUND(AVERAGE('INGRESO POR VENTAS'!B14:M14),0)</f>
        <v>1</v>
      </c>
      <c r="C15" s="385">
        <f t="shared" si="0"/>
        <v>0.008</v>
      </c>
      <c r="D15" s="280">
        <f>'INGRESO POR VENTAS'!B30</f>
        <v>3500</v>
      </c>
      <c r="E15" s="281">
        <f>'ELAB DE PRECIO'!B123</f>
        <v>2500</v>
      </c>
      <c r="F15" s="282">
        <f t="shared" si="2"/>
        <v>1000</v>
      </c>
      <c r="G15" s="282">
        <f t="shared" si="3"/>
        <v>8</v>
      </c>
      <c r="I15" s="206">
        <f t="shared" si="1"/>
        <v>0.5553128161350568</v>
      </c>
      <c r="J15" s="207"/>
      <c r="K15" s="208">
        <f t="shared" si="4"/>
        <v>1943.5948564726987</v>
      </c>
    </row>
    <row r="16" spans="2:11" ht="12">
      <c r="B16" s="383">
        <f>SUM(B5:B15)</f>
        <v>125</v>
      </c>
      <c r="C16" s="386">
        <v>1</v>
      </c>
      <c r="G16" s="209">
        <f>SUM(G5:G15)</f>
        <v>127.59958816483439</v>
      </c>
      <c r="H16" s="210"/>
      <c r="I16" s="209">
        <f>SUM(I5:I15)</f>
        <v>69.4141020168821</v>
      </c>
      <c r="J16" s="211"/>
      <c r="K16" s="212">
        <f>SUM(K5:K15)</f>
        <v>25744.30215602123</v>
      </c>
    </row>
    <row r="18" ht="12">
      <c r="L18" s="213"/>
    </row>
    <row r="19" spans="1:12" ht="12.75" thickBot="1">
      <c r="A19" s="214" t="s">
        <v>278</v>
      </c>
      <c r="B19" s="215" t="s">
        <v>73</v>
      </c>
      <c r="L19" s="216"/>
    </row>
    <row r="20" spans="1:12" ht="12.75" thickBot="1">
      <c r="A20" s="217" t="s">
        <v>279</v>
      </c>
      <c r="B20" s="339">
        <f>'AMORTIZACION DE CREDITO'!C10+'PLANILLA DE EMPLEADOS'!J20+'GASTOS INDIRECTOS'!E17</f>
        <v>8857.210830185955</v>
      </c>
      <c r="L20" s="213"/>
    </row>
    <row r="23" ht="12">
      <c r="I23" s="214" t="s">
        <v>280</v>
      </c>
    </row>
    <row r="24" ht="12">
      <c r="I24" s="4" t="s">
        <v>281</v>
      </c>
    </row>
    <row r="25" ht="12">
      <c r="I25" s="4" t="s">
        <v>282</v>
      </c>
    </row>
    <row r="29" ht="12">
      <c r="B29" s="213"/>
    </row>
    <row r="31" ht="12">
      <c r="B31" s="213"/>
    </row>
    <row r="32" ht="12">
      <c r="B32" s="213"/>
    </row>
    <row r="33" ht="12">
      <c r="B33" s="213"/>
    </row>
    <row r="35" ht="12">
      <c r="E35" s="213"/>
    </row>
    <row r="36" ht="12">
      <c r="E36" s="213"/>
    </row>
    <row r="39" ht="12">
      <c r="E39" s="207"/>
    </row>
    <row r="40" ht="12">
      <c r="E40" s="20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showGridLines="0" zoomScalePageLayoutView="0" workbookViewId="0" topLeftCell="A1">
      <selection activeCell="C30" sqref="C30"/>
    </sheetView>
  </sheetViews>
  <sheetFormatPr defaultColWidth="11.421875" defaultRowHeight="15"/>
  <cols>
    <col min="1" max="1" width="7.421875" style="4" customWidth="1"/>
    <col min="2" max="2" width="39.57421875" style="4" bestFit="1" customWidth="1"/>
    <col min="3" max="3" width="12.140625" style="218" customWidth="1"/>
    <col min="4" max="4" width="12.00390625" style="218" customWidth="1"/>
    <col min="5" max="7" width="12.28125" style="218" bestFit="1" customWidth="1"/>
    <col min="8" max="8" width="12.140625" style="218" customWidth="1"/>
    <col min="9" max="9" width="12.28125" style="218" customWidth="1"/>
    <col min="10" max="10" width="12.00390625" style="218" customWidth="1"/>
    <col min="11" max="11" width="6.421875" style="65" customWidth="1"/>
    <col min="12" max="16384" width="11.421875" style="4" customWidth="1"/>
  </cols>
  <sheetData>
    <row r="1" spans="1:10" ht="15.75">
      <c r="A1" s="461" t="s">
        <v>284</v>
      </c>
      <c r="B1" s="461"/>
      <c r="C1" s="461"/>
      <c r="D1" s="461"/>
      <c r="E1" s="461"/>
      <c r="F1" s="461"/>
      <c r="G1" s="461"/>
      <c r="H1" s="461"/>
      <c r="I1" s="461"/>
      <c r="J1" s="461"/>
    </row>
    <row r="2" ht="12.75" thickBot="1"/>
    <row r="3" spans="1:10" ht="12">
      <c r="A3" s="219" t="s">
        <v>505</v>
      </c>
      <c r="B3" s="220"/>
      <c r="C3" s="221"/>
      <c r="D3" s="222"/>
      <c r="E3" s="222"/>
      <c r="F3" s="222"/>
      <c r="G3" s="223"/>
      <c r="H3" s="224"/>
      <c r="I3" s="224"/>
      <c r="J3" s="225"/>
    </row>
    <row r="4" spans="1:10" ht="22.5">
      <c r="A4" s="226" t="s">
        <v>285</v>
      </c>
      <c r="B4" s="227" t="s">
        <v>286</v>
      </c>
      <c r="C4" s="157" t="s">
        <v>188</v>
      </c>
      <c r="D4" s="157" t="s">
        <v>189</v>
      </c>
      <c r="E4" s="157" t="s">
        <v>190</v>
      </c>
      <c r="F4" s="157" t="s">
        <v>191</v>
      </c>
      <c r="G4" s="157" t="s">
        <v>192</v>
      </c>
      <c r="H4" s="157" t="s">
        <v>193</v>
      </c>
      <c r="I4" s="157" t="s">
        <v>194</v>
      </c>
      <c r="J4" s="228" t="s">
        <v>195</v>
      </c>
    </row>
    <row r="5" spans="1:10" ht="12">
      <c r="A5" s="229" t="s">
        <v>287</v>
      </c>
      <c r="B5" s="230" t="s">
        <v>288</v>
      </c>
      <c r="C5" s="416">
        <f>+'BALANCE GENERAL'!D9</f>
        <v>36656.79434277548</v>
      </c>
      <c r="D5" s="416">
        <f>+'BALANCE GENERAL'!E9</f>
        <v>43478.630342775476</v>
      </c>
      <c r="E5" s="416">
        <f>+'BALANCE GENERAL'!F9</f>
        <v>39456.90034277548</v>
      </c>
      <c r="F5" s="416">
        <f>+'BALANCE GENERAL'!G9</f>
        <v>47779.62034277548</v>
      </c>
      <c r="G5" s="416">
        <f>+'BALANCE GENERAL'!H9</f>
        <v>38552.612322015804</v>
      </c>
      <c r="H5" s="416">
        <f>+'BALANCE GENERAL'!I9</f>
        <v>44648.74310396218</v>
      </c>
      <c r="I5" s="416">
        <f>+'BALANCE GENERAL'!J9</f>
        <v>39630.254750361535</v>
      </c>
      <c r="J5" s="417">
        <f>+'BALANCE GENERAL'!K9</f>
        <v>47211.220849902485</v>
      </c>
    </row>
    <row r="6" spans="1:10" ht="12">
      <c r="A6" s="229" t="s">
        <v>289</v>
      </c>
      <c r="B6" s="230" t="s">
        <v>290</v>
      </c>
      <c r="C6" s="416">
        <f>+'BALANCE GENERAL'!D21</f>
        <v>2453.848090223001</v>
      </c>
      <c r="D6" s="416">
        <f>+'BALANCE GENERAL'!E21</f>
        <v>2656.9610334112667</v>
      </c>
      <c r="E6" s="416">
        <f>+'BALANCE GENERAL'!F21</f>
        <v>2612.2651159250577</v>
      </c>
      <c r="F6" s="416">
        <f>+'BALANCE GENERAL'!G21</f>
        <v>2845.223389543329</v>
      </c>
      <c r="G6" s="416">
        <f>+'BALANCE GENERAL'!H21</f>
        <v>2609.6488391962994</v>
      </c>
      <c r="H6" s="416">
        <f>+'BALANCE GENERAL'!I21</f>
        <v>2812.9722872620387</v>
      </c>
      <c r="I6" s="416">
        <f>+'BALANCE GENERAL'!J21</f>
        <v>2771.1513979422425</v>
      </c>
      <c r="J6" s="417">
        <f>+'BALANCE GENERAL'!K21</f>
        <v>3007.0376817186325</v>
      </c>
    </row>
    <row r="7" spans="1:10" ht="12">
      <c r="A7" s="229" t="s">
        <v>204</v>
      </c>
      <c r="B7" s="230" t="s">
        <v>291</v>
      </c>
      <c r="C7" s="416">
        <f>+'BALANCE GENERAL'!D8</f>
        <v>22583.968</v>
      </c>
      <c r="D7" s="416">
        <f>+'BALANCE GENERAL'!E8</f>
        <v>22583.968</v>
      </c>
      <c r="E7" s="416">
        <f>+'BALANCE GENERAL'!F8</f>
        <v>22583.968</v>
      </c>
      <c r="F7" s="416">
        <f>+'BALANCE GENERAL'!G8</f>
        <v>22583.968</v>
      </c>
      <c r="G7" s="416">
        <f>+'BALANCE GENERAL'!H8</f>
        <v>22583.968</v>
      </c>
      <c r="H7" s="416">
        <f>+'BALANCE GENERAL'!I8</f>
        <v>22583.968</v>
      </c>
      <c r="I7" s="416">
        <f>+'BALANCE GENERAL'!J8</f>
        <v>22583.968</v>
      </c>
      <c r="J7" s="417">
        <f>+'BALANCE GENERAL'!K8</f>
        <v>22583.968</v>
      </c>
    </row>
    <row r="8" spans="1:10" ht="12">
      <c r="A8" s="229" t="s">
        <v>199</v>
      </c>
      <c r="B8" s="230" t="s">
        <v>292</v>
      </c>
      <c r="C8" s="416">
        <f>+'BALANCE GENERAL'!D6</f>
        <v>8495.826342775475</v>
      </c>
      <c r="D8" s="416">
        <f>+'BALANCE GENERAL'!E6</f>
        <v>15130.162342775478</v>
      </c>
      <c r="E8" s="416">
        <f>+'BALANCE GENERAL'!F6</f>
        <v>10543.932342775483</v>
      </c>
      <c r="F8" s="416">
        <f>+'BALANCE GENERAL'!G6</f>
        <v>18316.652342775484</v>
      </c>
      <c r="G8" s="416">
        <f>+'BALANCE GENERAL'!H6</f>
        <v>8604.644322015802</v>
      </c>
      <c r="H8" s="416">
        <f>+'BALANCE GENERAL'!I6</f>
        <v>15143.27510396218</v>
      </c>
      <c r="I8" s="416">
        <f>+'BALANCE GENERAL'!J6</f>
        <v>10557.286750361533</v>
      </c>
      <c r="J8" s="417">
        <f>+'BALANCE GENERAL'!K6</f>
        <v>18330.252849902485</v>
      </c>
    </row>
    <row r="9" spans="1:10" ht="12">
      <c r="A9" s="229" t="s">
        <v>293</v>
      </c>
      <c r="B9" s="230" t="s">
        <v>294</v>
      </c>
      <c r="C9" s="416">
        <f>+'BALANCE GENERAL'!D30</f>
        <v>68781.0439728522</v>
      </c>
      <c r="D9" s="416">
        <f>+'BALANCE GENERAL'!E30</f>
        <v>75284.9588212508</v>
      </c>
      <c r="E9" s="416">
        <f>+'BALANCE GENERAL'!F30</f>
        <v>72098.20611925173</v>
      </c>
      <c r="F9" s="416">
        <f>+'BALANCE GENERAL'!G30</f>
        <v>79713.36350147398</v>
      </c>
      <c r="G9" s="416">
        <f>+'BALANCE GENERAL'!H30</f>
        <v>69028.64712431461</v>
      </c>
      <c r="H9" s="416">
        <f>+'BALANCE GENERAL'!I30</f>
        <v>75433.35977003568</v>
      </c>
      <c r="I9" s="416">
        <f>+'BALANCE GENERAL'!J30</f>
        <v>72249.3418509266</v>
      </c>
      <c r="J9" s="417">
        <f>+'BALANCE GENERAL'!K30</f>
        <v>79867.28441354318</v>
      </c>
    </row>
    <row r="10" spans="1:10" ht="12">
      <c r="A10" s="229" t="s">
        <v>295</v>
      </c>
      <c r="B10" s="230" t="s">
        <v>296</v>
      </c>
      <c r="C10" s="416">
        <v>0</v>
      </c>
      <c r="D10" s="416">
        <v>0</v>
      </c>
      <c r="E10" s="416">
        <v>0</v>
      </c>
      <c r="F10" s="416">
        <v>0</v>
      </c>
      <c r="G10" s="416">
        <v>0</v>
      </c>
      <c r="H10" s="416">
        <v>0</v>
      </c>
      <c r="I10" s="416">
        <v>0</v>
      </c>
      <c r="J10" s="417">
        <v>0</v>
      </c>
    </row>
    <row r="11" spans="1:10" ht="12">
      <c r="A11" s="229" t="s">
        <v>297</v>
      </c>
      <c r="B11" s="230" t="s">
        <v>298</v>
      </c>
      <c r="C11" s="416">
        <f>+'BALANCE GENERAL'!D28</f>
        <v>18781.043972852207</v>
      </c>
      <c r="D11" s="416">
        <f>+'BALANCE GENERAL'!E28</f>
        <v>25284.958821250802</v>
      </c>
      <c r="E11" s="416">
        <f>+'BALANCE GENERAL'!F28</f>
        <v>22098.20611925172</v>
      </c>
      <c r="F11" s="416">
        <f>+'BALANCE GENERAL'!G28</f>
        <v>29713.36350147398</v>
      </c>
      <c r="G11" s="416">
        <f>+'BALANCE GENERAL'!H28</f>
        <v>19028.64712431461</v>
      </c>
      <c r="H11" s="416">
        <f>+'BALANCE GENERAL'!I28</f>
        <v>25433.35977003568</v>
      </c>
      <c r="I11" s="416">
        <f>+'BALANCE GENERAL'!J28</f>
        <v>22249.341850926605</v>
      </c>
      <c r="J11" s="417">
        <f>+'BALANCE GENERAL'!K28</f>
        <v>29867.284413543173</v>
      </c>
    </row>
    <row r="12" spans="1:10" ht="12">
      <c r="A12" s="229" t="s">
        <v>299</v>
      </c>
      <c r="B12" s="230" t="s">
        <v>300</v>
      </c>
      <c r="C12" s="416">
        <f>+'BALANCE GENERAL'!D15</f>
        <v>76123.83948166437</v>
      </c>
      <c r="D12" s="416">
        <f>+'BALANCE GENERAL'!E15</f>
        <v>82945.67548166437</v>
      </c>
      <c r="E12" s="416">
        <f>+'BALANCE GENERAL'!F15</f>
        <v>78923.94548166437</v>
      </c>
      <c r="F12" s="416">
        <f>+'BALANCE GENERAL'!G15</f>
        <v>87246.66548166437</v>
      </c>
      <c r="G12" s="416">
        <f>+'BALANCE GENERAL'!H15</f>
        <v>78019.6574609047</v>
      </c>
      <c r="H12" s="416">
        <f>+'BALANCE GENERAL'!I15</f>
        <v>84115.78824285106</v>
      </c>
      <c r="I12" s="416">
        <f>+'BALANCE GENERAL'!J15</f>
        <v>79097.29988925043</v>
      </c>
      <c r="J12" s="417">
        <f>+'BALANCE GENERAL'!K15</f>
        <v>86678.26598879138</v>
      </c>
    </row>
    <row r="13" spans="1:10" ht="12">
      <c r="A13" s="229" t="s">
        <v>210</v>
      </c>
      <c r="B13" s="230" t="s">
        <v>211</v>
      </c>
      <c r="C13" s="416">
        <f>+'BALANCE GENERAL'!D11</f>
        <v>37970</v>
      </c>
      <c r="D13" s="416">
        <f>+'BALANCE GENERAL'!E11</f>
        <v>37970</v>
      </c>
      <c r="E13" s="416">
        <f>+'BALANCE GENERAL'!F11</f>
        <v>37970</v>
      </c>
      <c r="F13" s="416">
        <f>+'BALANCE GENERAL'!G11</f>
        <v>37970</v>
      </c>
      <c r="G13" s="416">
        <f>+'BALANCE GENERAL'!H11</f>
        <v>37970</v>
      </c>
      <c r="H13" s="416">
        <f>+'BALANCE GENERAL'!I11</f>
        <v>37970</v>
      </c>
      <c r="I13" s="416">
        <f>+'BALANCE GENERAL'!J11</f>
        <v>37970</v>
      </c>
      <c r="J13" s="417">
        <f>+'BALANCE GENERAL'!K11</f>
        <v>37970</v>
      </c>
    </row>
    <row r="14" spans="1:10" ht="12">
      <c r="A14" s="229" t="s">
        <v>301</v>
      </c>
      <c r="B14" s="230" t="s">
        <v>302</v>
      </c>
      <c r="C14" s="416">
        <f>+'BALANCE GENERAL'!D25</f>
        <v>17315.898563406467</v>
      </c>
      <c r="D14" s="416">
        <f>+'BALANCE GENERAL'!E25</f>
        <v>15510.382750651435</v>
      </c>
      <c r="E14" s="416">
        <f>+'BALANCE GENERAL'!F25</f>
        <v>13420.042386964573</v>
      </c>
      <c r="F14" s="416">
        <f>+'BALANCE GENERAL'!G25</f>
        <v>11569.658386461924</v>
      </c>
      <c r="G14" s="416">
        <f>+'BALANCE GENERAL'!H25</f>
        <v>9212.349025747175</v>
      </c>
      <c r="H14" s="416">
        <f>+'BALANCE GENERAL'!I25</f>
        <v>7254.837616551789</v>
      </c>
      <c r="I14" s="416">
        <f>+'BALANCE GENERAL'!J25</f>
        <v>5012.361274185305</v>
      </c>
      <c r="J14" s="417">
        <f>+'BALANCE GENERAL'!K25</f>
        <v>3007.0376817185283</v>
      </c>
    </row>
    <row r="15" spans="1:10" ht="12">
      <c r="A15" s="229" t="s">
        <v>303</v>
      </c>
      <c r="B15" s="230" t="s">
        <v>304</v>
      </c>
      <c r="C15" s="416">
        <f>'ESTADO DE GANACIAS Y PERDIDAS'!B15+'ESTADO DE GANACIAS Y PERDIDAS'!C15+'ESTADO DE GANACIAS Y PERDIDAS'!D15</f>
        <v>19262.60920292534</v>
      </c>
      <c r="D15" s="416">
        <f>'ESTADO DE GANACIAS Y PERDIDAS'!E15+'ESTADO DE GANACIAS Y PERDIDAS'!F15+'ESTADO DE GANACIAS Y PERDIDAS'!G15</f>
        <v>25933.29109871877</v>
      </c>
      <c r="E15" s="416">
        <f>'ESTADO DE GANACIAS Y PERDIDAS'!H15+'ESTADO DE GANACIAS Y PERDIDAS'!I15+'ESTADO DE GANACIAS Y PERDIDAS'!J15</f>
        <v>22664.826788976126</v>
      </c>
      <c r="F15" s="416">
        <f>'ESTADO DE GANACIAS Y PERDIDAS'!K15+'ESTADO DE GANACIAS Y PERDIDAS'!L15+'ESTADO DE GANACIAS Y PERDIDAS'!M15</f>
        <v>30475.244616896394</v>
      </c>
      <c r="G15" s="416">
        <f>'ESTADO DE GANACIAS Y PERDIDAS'!N15+'ESTADO DE GANACIAS Y PERDIDAS'!O15+'ESTADO DE GANACIAS Y PERDIDAS'!P15</f>
        <v>19516.56115314319</v>
      </c>
      <c r="H15" s="416">
        <f>'ESTADO DE GANACIAS Y PERDIDAS'!Q15+'ESTADO DE GANACIAS Y PERDIDAS'!R15+'ESTADO DE GANACIAS Y PERDIDAS'!S15</f>
        <v>26085.497200036596</v>
      </c>
      <c r="I15" s="416">
        <f>'ESTADO DE GANACIAS Y PERDIDAS'!T15+'ESTADO DE GANACIAS Y PERDIDAS'!U15+'ESTADO DE GANACIAS Y PERDIDAS'!V15</f>
        <v>22819.83779582216</v>
      </c>
      <c r="J15" s="417">
        <f>'ESTADO DE GANACIAS Y PERDIDAS'!W15+'ESTADO DE GANACIAS Y PERDIDAS'!X15+'ESTADO DE GANACIAS Y PERDIDAS'!Y15</f>
        <v>30633.112219018636</v>
      </c>
    </row>
    <row r="16" spans="1:10" ht="12">
      <c r="A16" s="229" t="s">
        <v>305</v>
      </c>
      <c r="B16" s="230" t="s">
        <v>306</v>
      </c>
      <c r="C16" s="416">
        <f>'ESTADO DE GANACIAS Y PERDIDAS'!B4+'ESTADO DE GANACIAS Y PERDIDAS'!C4+'ESTADO DE GANACIAS Y PERDIDAS'!D4</f>
        <v>111540</v>
      </c>
      <c r="D16" s="416">
        <f>'ESTADO DE GANACIAS Y PERDIDAS'!E4+'ESTADO DE GANACIAS Y PERDIDAS'!F4+'ESTADO DE GANACIAS Y PERDIDAS'!G4</f>
        <v>137580</v>
      </c>
      <c r="E16" s="416">
        <f>'ESTADO DE GANACIAS Y PERDIDAS'!H4+'ESTADO DE GANACIAS Y PERDIDAS'!I4+'ESTADO DE GANACIAS Y PERDIDAS'!J4</f>
        <v>129780</v>
      </c>
      <c r="F16" s="416">
        <f>'ESTADO DE GANACIAS Y PERDIDAS'!K4+'ESTADO DE GANACIAS Y PERDIDAS'!L4+'ESTADO DE GANACIAS Y PERDIDAS'!M4</f>
        <v>154700</v>
      </c>
      <c r="G16" s="416">
        <f>'ESTADO DE GANACIAS Y PERDIDAS'!N4+'ESTADO DE GANACIAS Y PERDIDAS'!O4+'ESTADO DE GANACIAS Y PERDIDAS'!P4</f>
        <v>111540</v>
      </c>
      <c r="H16" s="416">
        <f>'ESTADO DE GANACIAS Y PERDIDAS'!Q4+'ESTADO DE GANACIAS Y PERDIDAS'!R4+'ESTADO DE GANACIAS Y PERDIDAS'!S4</f>
        <v>137580</v>
      </c>
      <c r="I16" s="416">
        <f>'ESTADO DE GANACIAS Y PERDIDAS'!T4+'ESTADO DE GANACIAS Y PERDIDAS'!U4+'ESTADO DE GANACIAS Y PERDIDAS'!V4</f>
        <v>129780</v>
      </c>
      <c r="J16" s="417">
        <f>'ESTADO DE GANACIAS Y PERDIDAS'!W4+'ESTADO DE GANACIAS Y PERDIDAS'!X4+'ESTADO DE GANACIAS Y PERDIDAS'!Y4</f>
        <v>154700</v>
      </c>
    </row>
    <row r="17" spans="1:10" ht="12">
      <c r="A17" s="229" t="s">
        <v>307</v>
      </c>
      <c r="B17" s="230" t="s">
        <v>202</v>
      </c>
      <c r="C17" s="416">
        <v>0</v>
      </c>
      <c r="D17" s="416">
        <v>0</v>
      </c>
      <c r="E17" s="416">
        <v>0</v>
      </c>
      <c r="F17" s="416">
        <v>0</v>
      </c>
      <c r="G17" s="416">
        <v>0</v>
      </c>
      <c r="H17" s="416">
        <v>0</v>
      </c>
      <c r="I17" s="416">
        <v>0</v>
      </c>
      <c r="J17" s="417">
        <v>0</v>
      </c>
    </row>
    <row r="18" spans="1:10" ht="12">
      <c r="A18" s="229" t="s">
        <v>308</v>
      </c>
      <c r="B18" s="230" t="s">
        <v>309</v>
      </c>
      <c r="C18" s="416">
        <f>'ESTADO DE GANACIAS Y PERDIDAS'!B5+'ESTADO DE GANACIAS Y PERDIDAS'!C5+'ESTADO DE GANACIAS Y PERDIDAS'!D5</f>
        <v>82688.812</v>
      </c>
      <c r="D18" s="416">
        <f>'ESTADO DE GANACIAS Y PERDIDAS'!E5+'ESTADO DE GANACIAS Y PERDIDAS'!F5+'ESTADO DE GANACIAS Y PERDIDAS'!G5</f>
        <v>102094.476</v>
      </c>
      <c r="E18" s="416">
        <f>'ESTADO DE GANACIAS Y PERDIDAS'!H5+'ESTADO DE GANACIAS Y PERDIDAS'!I5+'ESTADO DE GANACIAS Y PERDIDAS'!J5</f>
        <v>96319.206</v>
      </c>
      <c r="F18" s="416">
        <f>'ESTADO DE GANACIAS Y PERDIDAS'!K5+'ESTADO DE GANACIAS Y PERDIDAS'!L5+'ESTADO DE GANACIAS Y PERDIDAS'!M5</f>
        <v>113466.486</v>
      </c>
      <c r="G18" s="416">
        <f>'ESTADO DE GANACIAS Y PERDIDAS'!N5+'ESTADO DE GANACIAS Y PERDIDAS'!O5+'ESTADO DE GANACIAS Y PERDIDAS'!P5</f>
        <v>82584.312</v>
      </c>
      <c r="H18" s="416">
        <f>'ESTADO DE GANACIAS Y PERDIDAS'!Q5+'ESTADO DE GANACIAS Y PERDIDAS'!R5+'ESTADO DE GANACIAS Y PERDIDAS'!S5</f>
        <v>102094.476</v>
      </c>
      <c r="I18" s="416">
        <f>'ESTADO DE GANACIAS Y PERDIDAS'!T5+'ESTADO DE GANACIAS Y PERDIDAS'!U5+'ESTADO DE GANACIAS Y PERDIDAS'!V5</f>
        <v>96319.206</v>
      </c>
      <c r="J18" s="417">
        <f>'ESTADO DE GANACIAS Y PERDIDAS'!W5+'ESTADO DE GANACIAS Y PERDIDAS'!X5+'ESTADO DE GANACIAS Y PERDIDAS'!Y5</f>
        <v>113466.486</v>
      </c>
    </row>
    <row r="19" spans="1:10" ht="12">
      <c r="A19" s="229" t="s">
        <v>310</v>
      </c>
      <c r="B19" s="230" t="s">
        <v>311</v>
      </c>
      <c r="C19" s="416">
        <f>+'BALANCE GENERAL'!D11</f>
        <v>37970</v>
      </c>
      <c r="D19" s="416">
        <f>+'BALANCE GENERAL'!E11</f>
        <v>37970</v>
      </c>
      <c r="E19" s="416">
        <f>+'BALANCE GENERAL'!F11</f>
        <v>37970</v>
      </c>
      <c r="F19" s="416">
        <f>+'BALANCE GENERAL'!G11</f>
        <v>37970</v>
      </c>
      <c r="G19" s="416">
        <f>+'BALANCE GENERAL'!H11</f>
        <v>37970</v>
      </c>
      <c r="H19" s="416">
        <f>+'BALANCE GENERAL'!I11</f>
        <v>37970</v>
      </c>
      <c r="I19" s="416">
        <f>+'BALANCE GENERAL'!J11</f>
        <v>37970</v>
      </c>
      <c r="J19" s="417">
        <f>+'BALANCE GENERAL'!K11</f>
        <v>37970</v>
      </c>
    </row>
    <row r="20" spans="1:10" ht="12">
      <c r="A20" s="229" t="s">
        <v>312</v>
      </c>
      <c r="B20" s="230" t="s">
        <v>313</v>
      </c>
      <c r="C20" s="416">
        <f>C11</f>
        <v>18781.043972852207</v>
      </c>
      <c r="D20" s="416">
        <f aca="true" t="shared" si="0" ref="D20:J20">D11</f>
        <v>25284.958821250802</v>
      </c>
      <c r="E20" s="416">
        <f t="shared" si="0"/>
        <v>22098.20611925172</v>
      </c>
      <c r="F20" s="416">
        <f t="shared" si="0"/>
        <v>29713.36350147398</v>
      </c>
      <c r="G20" s="416">
        <f t="shared" si="0"/>
        <v>19028.64712431461</v>
      </c>
      <c r="H20" s="416">
        <f t="shared" si="0"/>
        <v>25433.35977003568</v>
      </c>
      <c r="I20" s="416">
        <f t="shared" si="0"/>
        <v>22249.341850926605</v>
      </c>
      <c r="J20" s="417">
        <f t="shared" si="0"/>
        <v>29867.284413543173</v>
      </c>
    </row>
    <row r="21" spans="1:10" ht="12">
      <c r="A21" s="229" t="s">
        <v>314</v>
      </c>
      <c r="B21" s="230" t="s">
        <v>315</v>
      </c>
      <c r="C21" s="416">
        <f>'FLUJO DE CAJA ECON FINANCI'!C15+'FLUJO DE CAJA ECON FINANCI'!D15+'FLUJO DE CAJA ECON FINANCI'!E15</f>
        <v>296.3496304079953</v>
      </c>
      <c r="D21" s="416">
        <f>'FLUJO DE CAJA ECON FINANCI'!F15+'FLUJO DE CAJA ECON FINANCI'!G15+'FLUJO DE CAJA ECON FINANCI'!H15</f>
        <v>260.00373461456525</v>
      </c>
      <c r="E21" s="416">
        <f>'FLUJO DE CAJA ECON FINANCI'!I15+'FLUJO DE CAJA ECON FINANCI'!J15+'FLUJO DE CAJA ECON FINANCI'!K15</f>
        <v>222.9880443572083</v>
      </c>
      <c r="F21" s="416">
        <f>'FLUJO DE CAJA ECON FINANCI'!L15</f>
        <v>65.98609874770784</v>
      </c>
      <c r="G21" s="416">
        <v>0</v>
      </c>
      <c r="H21" s="416">
        <v>0</v>
      </c>
      <c r="I21" s="416">
        <v>0</v>
      </c>
      <c r="J21" s="417">
        <v>0</v>
      </c>
    </row>
    <row r="22" spans="1:10" ht="12">
      <c r="A22" s="229" t="s">
        <v>316</v>
      </c>
      <c r="B22" s="230" t="s">
        <v>317</v>
      </c>
      <c r="C22" s="416">
        <f>'ESTADO DE GANACIAS Y PERDIDAS'!B10+'ESTADO DE GANACIAS Y PERDIDAS'!B11+'ESTADO DE GANACIAS Y PERDIDAS'!C10+'ESTADO DE GANACIAS Y PERDIDAS'!C11+'ESTADO DE GANACIAS Y PERDIDAS'!D10+'ESTADO DE GANACIAS Y PERDIDAS'!D11</f>
        <v>9043.364583333334</v>
      </c>
      <c r="D22" s="416">
        <f>C22</f>
        <v>9043.364583333334</v>
      </c>
      <c r="E22" s="416">
        <f>'ESTADO DE GANACIAS Y PERDIDAS'!H10+'ESTADO DE GANACIAS Y PERDIDAS'!H11+'ESTADO DE GANACIAS Y PERDIDAS'!I10+'ESTADO DE GANACIAS Y PERDIDAS'!I11+'ESTADO DE GANACIAS Y PERDIDAS'!J10+'ESTADO DE GANACIAS Y PERDIDAS'!J11</f>
        <v>10324.114583333334</v>
      </c>
      <c r="F22" s="416">
        <f>E22</f>
        <v>10324.114583333334</v>
      </c>
      <c r="G22" s="416">
        <f>C22</f>
        <v>9043.364583333334</v>
      </c>
      <c r="H22" s="416">
        <f>D22</f>
        <v>9043.364583333334</v>
      </c>
      <c r="I22" s="416">
        <f>E22</f>
        <v>10324.114583333334</v>
      </c>
      <c r="J22" s="417">
        <f>F22</f>
        <v>10324.114583333334</v>
      </c>
    </row>
    <row r="23" spans="1:10" ht="12.75" thickBot="1">
      <c r="A23" s="233" t="s">
        <v>318</v>
      </c>
      <c r="B23" s="234" t="s">
        <v>319</v>
      </c>
      <c r="C23" s="418">
        <f>+'BALANCE GENERAL'!D27</f>
        <v>50000</v>
      </c>
      <c r="D23" s="418">
        <f>+'BALANCE GENERAL'!E27</f>
        <v>50000</v>
      </c>
      <c r="E23" s="418">
        <f>+'BALANCE GENERAL'!F27</f>
        <v>50000</v>
      </c>
      <c r="F23" s="418">
        <f>+'BALANCE GENERAL'!G27</f>
        <v>50000</v>
      </c>
      <c r="G23" s="418">
        <f>+'BALANCE GENERAL'!H27</f>
        <v>50000</v>
      </c>
      <c r="H23" s="418">
        <f>+'BALANCE GENERAL'!I27</f>
        <v>50000</v>
      </c>
      <c r="I23" s="418">
        <f>+'BALANCE GENERAL'!J27</f>
        <v>50000</v>
      </c>
      <c r="J23" s="421">
        <f>+'BALANCE GENERAL'!K27</f>
        <v>50000</v>
      </c>
    </row>
    <row r="25" ht="12.75" thickBot="1"/>
    <row r="26" spans="2:10" ht="23.25" thickBot="1">
      <c r="B26" s="237" t="s">
        <v>320</v>
      </c>
      <c r="C26" s="238" t="s">
        <v>188</v>
      </c>
      <c r="D26" s="239" t="s">
        <v>189</v>
      </c>
      <c r="E26" s="239" t="s">
        <v>190</v>
      </c>
      <c r="F26" s="239" t="s">
        <v>191</v>
      </c>
      <c r="G26" s="239" t="s">
        <v>192</v>
      </c>
      <c r="H26" s="239" t="s">
        <v>193</v>
      </c>
      <c r="I26" s="239" t="s">
        <v>194</v>
      </c>
      <c r="J26" s="240" t="s">
        <v>195</v>
      </c>
    </row>
    <row r="27" spans="2:10" ht="12">
      <c r="B27" s="241" t="s">
        <v>321</v>
      </c>
      <c r="C27" s="242">
        <f>C5/C6</f>
        <v>14.93849374328799</v>
      </c>
      <c r="D27" s="243">
        <f aca="true" t="shared" si="1" ref="D27:J27">D5/D6</f>
        <v>16.364045161382496</v>
      </c>
      <c r="E27" s="244">
        <f t="shared" si="1"/>
        <v>15.104477758492353</v>
      </c>
      <c r="F27" s="244">
        <f t="shared" si="1"/>
        <v>16.79292406999519</v>
      </c>
      <c r="G27" s="244">
        <f t="shared" si="1"/>
        <v>14.773103470077974</v>
      </c>
      <c r="H27" s="244">
        <f t="shared" si="1"/>
        <v>15.872443289308164</v>
      </c>
      <c r="I27" s="244">
        <f t="shared" si="1"/>
        <v>14.301006715038932</v>
      </c>
      <c r="J27" s="245">
        <f t="shared" si="1"/>
        <v>15.700242513395954</v>
      </c>
    </row>
    <row r="28" spans="2:10" ht="12">
      <c r="B28" s="246" t="s">
        <v>322</v>
      </c>
      <c r="C28" s="247">
        <f>(C5-C7)/C6</f>
        <v>5.735003074903699</v>
      </c>
      <c r="D28" s="248">
        <f aca="true" t="shared" si="2" ref="D28:J28">(D5-D7)/D6</f>
        <v>7.864120730422931</v>
      </c>
      <c r="E28" s="249">
        <f t="shared" si="2"/>
        <v>6.459119420886353</v>
      </c>
      <c r="F28" s="249">
        <f t="shared" si="2"/>
        <v>8.855421488299902</v>
      </c>
      <c r="G28" s="249">
        <f t="shared" si="2"/>
        <v>6.119077816973149</v>
      </c>
      <c r="H28" s="249">
        <f t="shared" si="2"/>
        <v>7.843936182335651</v>
      </c>
      <c r="I28" s="249">
        <f t="shared" si="2"/>
        <v>6.151337225031983</v>
      </c>
      <c r="J28" s="250">
        <f t="shared" si="2"/>
        <v>8.189871713156286</v>
      </c>
    </row>
    <row r="29" spans="2:11" ht="12">
      <c r="B29" s="251" t="s">
        <v>323</v>
      </c>
      <c r="C29" s="247">
        <f>C8/C6</f>
        <v>3.4622462476898446</v>
      </c>
      <c r="D29" s="248">
        <f aca="true" t="shared" si="3" ref="D29:J29">D8/D6</f>
        <v>5.694536785641111</v>
      </c>
      <c r="E29" s="249">
        <f t="shared" si="3"/>
        <v>4.036317860119514</v>
      </c>
      <c r="F29" s="249">
        <f t="shared" si="3"/>
        <v>6.437685142787817</v>
      </c>
      <c r="G29" s="249">
        <f t="shared" si="3"/>
        <v>3.29724221618484</v>
      </c>
      <c r="H29" s="249">
        <f t="shared" si="3"/>
        <v>5.383371593291324</v>
      </c>
      <c r="I29" s="249">
        <f t="shared" si="3"/>
        <v>3.8097112839814504</v>
      </c>
      <c r="J29" s="250">
        <f t="shared" si="3"/>
        <v>6.09578422024498</v>
      </c>
      <c r="K29" s="140"/>
    </row>
    <row r="30" spans="2:10" ht="12.75" thickBot="1">
      <c r="B30" s="252" t="s">
        <v>324</v>
      </c>
      <c r="C30" s="253">
        <f>C5-C6</f>
        <v>34202.94625255248</v>
      </c>
      <c r="D30" s="254">
        <f aca="true" t="shared" si="4" ref="D30:J30">D5-D6</f>
        <v>40821.66930936421</v>
      </c>
      <c r="E30" s="255">
        <f t="shared" si="4"/>
        <v>36844.63522685042</v>
      </c>
      <c r="F30" s="255">
        <f t="shared" si="4"/>
        <v>44934.39695323215</v>
      </c>
      <c r="G30" s="255">
        <f t="shared" si="4"/>
        <v>35942.963482819505</v>
      </c>
      <c r="H30" s="255">
        <f t="shared" si="4"/>
        <v>41835.77081670014</v>
      </c>
      <c r="I30" s="255">
        <f t="shared" si="4"/>
        <v>36859.10335241929</v>
      </c>
      <c r="J30" s="256">
        <f t="shared" si="4"/>
        <v>44204.18316818385</v>
      </c>
    </row>
    <row r="31" ht="12.75" thickBot="1"/>
    <row r="32" spans="2:10" ht="23.25" thickBot="1">
      <c r="B32" s="257" t="s">
        <v>325</v>
      </c>
      <c r="C32" s="238" t="s">
        <v>188</v>
      </c>
      <c r="D32" s="239" t="s">
        <v>189</v>
      </c>
      <c r="E32" s="239" t="s">
        <v>190</v>
      </c>
      <c r="F32" s="239" t="s">
        <v>191</v>
      </c>
      <c r="G32" s="239" t="s">
        <v>192</v>
      </c>
      <c r="H32" s="239" t="s">
        <v>193</v>
      </c>
      <c r="I32" s="239" t="s">
        <v>194</v>
      </c>
      <c r="J32" s="240" t="s">
        <v>195</v>
      </c>
    </row>
    <row r="33" spans="2:10" ht="12">
      <c r="B33" s="241" t="s">
        <v>326</v>
      </c>
      <c r="C33" s="242">
        <f>C16/C13</f>
        <v>2.937582301817224</v>
      </c>
      <c r="D33" s="243">
        <f aca="true" t="shared" si="5" ref="D33:J33">D16/D13</f>
        <v>3.6233868843824073</v>
      </c>
      <c r="E33" s="243">
        <f t="shared" si="5"/>
        <v>3.417961548590993</v>
      </c>
      <c r="F33" s="243">
        <f t="shared" si="5"/>
        <v>4.07426915986305</v>
      </c>
      <c r="G33" s="243">
        <f t="shared" si="5"/>
        <v>2.937582301817224</v>
      </c>
      <c r="H33" s="243">
        <f t="shared" si="5"/>
        <v>3.6233868843824073</v>
      </c>
      <c r="I33" s="243">
        <f>I16/I13</f>
        <v>3.417961548590993</v>
      </c>
      <c r="J33" s="258">
        <f t="shared" si="5"/>
        <v>4.07426915986305</v>
      </c>
    </row>
    <row r="34" spans="2:10" ht="12">
      <c r="B34" s="246" t="s">
        <v>327</v>
      </c>
      <c r="C34" s="247">
        <f aca="true" t="shared" si="6" ref="C34:H34">C18/C7</f>
        <v>3.661394312992296</v>
      </c>
      <c r="D34" s="248">
        <f t="shared" si="6"/>
        <v>4.52066155956296</v>
      </c>
      <c r="E34" s="248">
        <f t="shared" si="6"/>
        <v>4.264937233350667</v>
      </c>
      <c r="F34" s="248">
        <f t="shared" si="6"/>
        <v>5.024205046695071</v>
      </c>
      <c r="G34" s="248">
        <f t="shared" si="6"/>
        <v>3.6567671367582526</v>
      </c>
      <c r="H34" s="248">
        <f t="shared" si="6"/>
        <v>4.52066155956296</v>
      </c>
      <c r="I34" s="248">
        <f>I18/I7</f>
        <v>4.264937233350667</v>
      </c>
      <c r="J34" s="259">
        <f>J18/J7</f>
        <v>5.024205046695071</v>
      </c>
    </row>
    <row r="35" spans="2:10" ht="12">
      <c r="B35" s="246" t="s">
        <v>328</v>
      </c>
      <c r="C35" s="247">
        <f aca="true" t="shared" si="7" ref="C35:H35">C8/C16*360</f>
        <v>27.4206337044932</v>
      </c>
      <c r="D35" s="248">
        <f t="shared" si="7"/>
        <v>39.59048149003614</v>
      </c>
      <c r="E35" s="248">
        <f t="shared" si="7"/>
        <v>29.24807862073643</v>
      </c>
      <c r="F35" s="248">
        <f t="shared" si="7"/>
        <v>42.62440105623254</v>
      </c>
      <c r="G35" s="248">
        <f t="shared" si="7"/>
        <v>27.771848269012807</v>
      </c>
      <c r="H35" s="248">
        <f t="shared" si="7"/>
        <v>39.62479311983126</v>
      </c>
      <c r="I35" s="248">
        <f>I8/I16*360</f>
        <v>29.28512274718872</v>
      </c>
      <c r="J35" s="259">
        <f>J8/J16*360</f>
        <v>42.65605058800837</v>
      </c>
    </row>
    <row r="36" spans="2:10" ht="12">
      <c r="B36" s="246" t="s">
        <v>329</v>
      </c>
      <c r="C36" s="247">
        <f>C16/C12</f>
        <v>1.4652440123815111</v>
      </c>
      <c r="D36" s="248">
        <f aca="true" t="shared" si="8" ref="D36:J36">D16/D12</f>
        <v>1.6586759852285835</v>
      </c>
      <c r="E36" s="248">
        <f t="shared" si="8"/>
        <v>1.6443678684329146</v>
      </c>
      <c r="F36" s="248">
        <f t="shared" si="8"/>
        <v>1.7731336681573409</v>
      </c>
      <c r="G36" s="248">
        <f t="shared" si="8"/>
        <v>1.4296397040180828</v>
      </c>
      <c r="H36" s="248">
        <f t="shared" si="8"/>
        <v>1.635602576805108</v>
      </c>
      <c r="I36" s="248">
        <f t="shared" si="8"/>
        <v>1.6407639727489296</v>
      </c>
      <c r="J36" s="259">
        <f t="shared" si="8"/>
        <v>1.7847611305468976</v>
      </c>
    </row>
    <row r="37" spans="2:11" ht="12.75" thickBot="1">
      <c r="B37" s="260" t="s">
        <v>330</v>
      </c>
      <c r="C37" s="261">
        <f>C16/C13</f>
        <v>2.937582301817224</v>
      </c>
      <c r="D37" s="262">
        <f aca="true" t="shared" si="9" ref="D37:J37">D16/D13</f>
        <v>3.6233868843824073</v>
      </c>
      <c r="E37" s="262">
        <f t="shared" si="9"/>
        <v>3.417961548590993</v>
      </c>
      <c r="F37" s="262">
        <f t="shared" si="9"/>
        <v>4.07426915986305</v>
      </c>
      <c r="G37" s="262">
        <f t="shared" si="9"/>
        <v>2.937582301817224</v>
      </c>
      <c r="H37" s="262">
        <f t="shared" si="9"/>
        <v>3.6233868843824073</v>
      </c>
      <c r="I37" s="262">
        <f t="shared" si="9"/>
        <v>3.417961548590993</v>
      </c>
      <c r="J37" s="263">
        <f t="shared" si="9"/>
        <v>4.07426915986305</v>
      </c>
      <c r="K37" s="140"/>
    </row>
    <row r="38" spans="3:10" ht="12.75" thickBot="1">
      <c r="C38" s="264"/>
      <c r="D38" s="264"/>
      <c r="E38" s="264"/>
      <c r="F38" s="264"/>
      <c r="G38" s="264"/>
      <c r="H38" s="264"/>
      <c r="I38" s="264"/>
      <c r="J38" s="264"/>
    </row>
    <row r="39" spans="2:10" ht="23.25" thickBot="1">
      <c r="B39" s="265" t="s">
        <v>331</v>
      </c>
      <c r="C39" s="238" t="s">
        <v>188</v>
      </c>
      <c r="D39" s="239" t="s">
        <v>189</v>
      </c>
      <c r="E39" s="239" t="s">
        <v>190</v>
      </c>
      <c r="F39" s="239" t="s">
        <v>191</v>
      </c>
      <c r="G39" s="239" t="s">
        <v>192</v>
      </c>
      <c r="H39" s="239" t="s">
        <v>193</v>
      </c>
      <c r="I39" s="239" t="s">
        <v>194</v>
      </c>
      <c r="J39" s="240" t="s">
        <v>195</v>
      </c>
    </row>
    <row r="40" spans="2:11" ht="12">
      <c r="B40" s="266" t="s">
        <v>332</v>
      </c>
      <c r="C40" s="242">
        <f>C14/C9</f>
        <v>0.25175393630607046</v>
      </c>
      <c r="D40" s="243">
        <f aca="true" t="shared" si="10" ref="D40:J40">D14/D9</f>
        <v>0.2060223315985038</v>
      </c>
      <c r="E40" s="243">
        <f t="shared" si="10"/>
        <v>0.18613559350932507</v>
      </c>
      <c r="F40" s="243">
        <f t="shared" si="10"/>
        <v>0.14514076283141644</v>
      </c>
      <c r="G40" s="243">
        <f t="shared" si="10"/>
        <v>0.13345689665852112</v>
      </c>
      <c r="H40" s="243">
        <f t="shared" si="10"/>
        <v>0.09617545391944243</v>
      </c>
      <c r="I40" s="243">
        <f t="shared" si="10"/>
        <v>0.06937587451699424</v>
      </c>
      <c r="J40" s="258">
        <f t="shared" si="10"/>
        <v>0.03765043100937863</v>
      </c>
      <c r="K40" s="140"/>
    </row>
    <row r="41" spans="2:10" ht="12.75" thickBot="1">
      <c r="B41" s="252" t="s">
        <v>333</v>
      </c>
      <c r="C41" s="261">
        <f>C14/C12</f>
        <v>0.227470115555289</v>
      </c>
      <c r="D41" s="262">
        <f aca="true" t="shared" si="11" ref="D41:J41">D14/D12</f>
        <v>0.18699447150900708</v>
      </c>
      <c r="E41" s="262">
        <f t="shared" si="11"/>
        <v>0.17003765213540065</v>
      </c>
      <c r="F41" s="262">
        <f t="shared" si="11"/>
        <v>0.1326086025476055</v>
      </c>
      <c r="G41" s="262">
        <f t="shared" si="11"/>
        <v>0.11807728110525789</v>
      </c>
      <c r="H41" s="262">
        <f t="shared" si="11"/>
        <v>0.08624822721278336</v>
      </c>
      <c r="I41" s="262">
        <f t="shared" si="11"/>
        <v>0.06336956231380157</v>
      </c>
      <c r="J41" s="263">
        <f t="shared" si="11"/>
        <v>0.034691945523083925</v>
      </c>
    </row>
    <row r="42" spans="3:10" ht="12.75" thickBot="1">
      <c r="C42" s="267"/>
      <c r="D42" s="267"/>
      <c r="E42" s="267"/>
      <c r="F42" s="267"/>
      <c r="G42" s="267"/>
      <c r="H42" s="267"/>
      <c r="I42" s="267"/>
      <c r="J42" s="267"/>
    </row>
    <row r="43" spans="2:10" ht="23.25" thickBot="1">
      <c r="B43" s="257" t="s">
        <v>334</v>
      </c>
      <c r="C43" s="238" t="s">
        <v>188</v>
      </c>
      <c r="D43" s="239" t="s">
        <v>189</v>
      </c>
      <c r="E43" s="239" t="s">
        <v>190</v>
      </c>
      <c r="F43" s="239" t="s">
        <v>191</v>
      </c>
      <c r="G43" s="239" t="s">
        <v>192</v>
      </c>
      <c r="H43" s="239" t="s">
        <v>193</v>
      </c>
      <c r="I43" s="239" t="s">
        <v>194</v>
      </c>
      <c r="J43" s="240" t="s">
        <v>195</v>
      </c>
    </row>
    <row r="44" spans="2:11" ht="12">
      <c r="B44" s="266" t="s">
        <v>335</v>
      </c>
      <c r="C44" s="242">
        <f>C11/C12</f>
        <v>0.24671698249502927</v>
      </c>
      <c r="D44" s="243">
        <f aca="true" t="shared" si="12" ref="D44:I44">D11/D12</f>
        <v>0.3048375780222586</v>
      </c>
      <c r="E44" s="243">
        <f t="shared" si="12"/>
        <v>0.2799936823278251</v>
      </c>
      <c r="F44" s="243">
        <f t="shared" si="12"/>
        <v>0.34056732526606986</v>
      </c>
      <c r="G44" s="243">
        <f t="shared" si="12"/>
        <v>0.2438955481680983</v>
      </c>
      <c r="H44" s="243">
        <f t="shared" si="12"/>
        <v>0.30236130816021023</v>
      </c>
      <c r="I44" s="243">
        <f t="shared" si="12"/>
        <v>0.2812907884602817</v>
      </c>
      <c r="J44" s="258">
        <f>J11/J12</f>
        <v>0.34457639493394343</v>
      </c>
      <c r="K44" s="140"/>
    </row>
    <row r="45" spans="2:11" ht="12">
      <c r="B45" s="246" t="s">
        <v>336</v>
      </c>
      <c r="C45" s="247">
        <f>C11/C9</f>
        <v>0.273055523557698</v>
      </c>
      <c r="D45" s="248">
        <f aca="true" t="shared" si="13" ref="D45:J45">D11/D9</f>
        <v>0.33585671317540233</v>
      </c>
      <c r="E45" s="248">
        <f t="shared" si="13"/>
        <v>0.30650146943602025</v>
      </c>
      <c r="F45" s="248">
        <f t="shared" si="13"/>
        <v>0.3727526000195005</v>
      </c>
      <c r="G45" s="248">
        <f t="shared" si="13"/>
        <v>0.275663045953163</v>
      </c>
      <c r="H45" s="248">
        <f t="shared" si="13"/>
        <v>0.33716329018846847</v>
      </c>
      <c r="I45" s="248">
        <f t="shared" si="13"/>
        <v>0.30795217341680536</v>
      </c>
      <c r="J45" s="259">
        <f t="shared" si="13"/>
        <v>0.3739614365613581</v>
      </c>
      <c r="K45" s="140"/>
    </row>
    <row r="46" spans="2:10" ht="12">
      <c r="B46" s="246" t="s">
        <v>337</v>
      </c>
      <c r="C46" s="247">
        <f aca="true" t="shared" si="14" ref="C46:J46">C11/C16</f>
        <v>0.1683794510745222</v>
      </c>
      <c r="D46" s="248">
        <f t="shared" si="14"/>
        <v>0.18378368092201486</v>
      </c>
      <c r="E46" s="248">
        <f t="shared" si="14"/>
        <v>0.17027435752235878</v>
      </c>
      <c r="F46" s="249">
        <f t="shared" si="14"/>
        <v>0.19207086943422094</v>
      </c>
      <c r="G46" s="249">
        <f t="shared" si="14"/>
        <v>0.1705993107792237</v>
      </c>
      <c r="H46" s="249">
        <f t="shared" si="14"/>
        <v>0.18486233297016777</v>
      </c>
      <c r="I46" s="249">
        <f t="shared" si="14"/>
        <v>0.1714389108562691</v>
      </c>
      <c r="J46" s="250">
        <f t="shared" si="14"/>
        <v>0.19306583331314267</v>
      </c>
    </row>
    <row r="47" spans="2:10" ht="12.75" thickBot="1">
      <c r="B47" s="252" t="s">
        <v>338</v>
      </c>
      <c r="C47" s="261">
        <f aca="true" t="shared" si="15" ref="C47:H47">(C16-C18)/C16</f>
        <v>0.25866225569302487</v>
      </c>
      <c r="D47" s="262">
        <f t="shared" si="15"/>
        <v>0.2579264718709115</v>
      </c>
      <c r="E47" s="262">
        <f t="shared" si="15"/>
        <v>0.2578270457697642</v>
      </c>
      <c r="F47" s="268">
        <f t="shared" si="15"/>
        <v>0.2665385520361991</v>
      </c>
      <c r="G47" s="268">
        <f t="shared" si="15"/>
        <v>0.2595991393222162</v>
      </c>
      <c r="H47" s="268">
        <f t="shared" si="15"/>
        <v>0.2579264718709115</v>
      </c>
      <c r="I47" s="268">
        <f>(I16-I18)/I16</f>
        <v>0.2578270457697642</v>
      </c>
      <c r="J47" s="269">
        <f>(J16-J18)/J16</f>
        <v>0.2665385520361991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showGridLines="0" zoomScalePageLayoutView="0" workbookViewId="0" topLeftCell="A1">
      <selection activeCell="A1" sqref="A1:J1"/>
    </sheetView>
  </sheetViews>
  <sheetFormatPr defaultColWidth="11.421875" defaultRowHeight="15"/>
  <cols>
    <col min="1" max="1" width="3.421875" style="4" customWidth="1"/>
    <col min="2" max="2" width="39.57421875" style="4" bestFit="1" customWidth="1"/>
    <col min="3" max="3" width="12.140625" style="218" customWidth="1"/>
    <col min="4" max="4" width="12.00390625" style="218" customWidth="1"/>
    <col min="5" max="7" width="12.28125" style="218" bestFit="1" customWidth="1"/>
    <col min="8" max="8" width="12.140625" style="218" customWidth="1"/>
    <col min="9" max="9" width="12.28125" style="218" customWidth="1"/>
    <col min="10" max="10" width="12.00390625" style="218" customWidth="1"/>
    <col min="11" max="11" width="6.421875" style="65" customWidth="1"/>
    <col min="12" max="16384" width="11.421875" style="4" customWidth="1"/>
  </cols>
  <sheetData>
    <row r="1" spans="1:10" ht="15.75">
      <c r="A1" s="461" t="s">
        <v>284</v>
      </c>
      <c r="B1" s="461"/>
      <c r="C1" s="461"/>
      <c r="D1" s="461"/>
      <c r="E1" s="461"/>
      <c r="F1" s="461"/>
      <c r="G1" s="461"/>
      <c r="H1" s="461"/>
      <c r="I1" s="461"/>
      <c r="J1" s="461"/>
    </row>
    <row r="2" ht="12.75" thickBot="1"/>
    <row r="3" spans="1:10" ht="12">
      <c r="A3" s="219" t="s">
        <v>505</v>
      </c>
      <c r="B3" s="220"/>
      <c r="C3" s="221"/>
      <c r="D3" s="222"/>
      <c r="E3" s="222"/>
      <c r="F3" s="222"/>
      <c r="G3" s="223"/>
      <c r="H3" s="224"/>
      <c r="I3" s="224"/>
      <c r="J3" s="225"/>
    </row>
    <row r="4" spans="1:10" ht="22.5">
      <c r="A4" s="226" t="s">
        <v>285</v>
      </c>
      <c r="B4" s="227" t="s">
        <v>286</v>
      </c>
      <c r="C4" s="157" t="s">
        <v>188</v>
      </c>
      <c r="D4" s="157" t="s">
        <v>189</v>
      </c>
      <c r="E4" s="157" t="s">
        <v>190</v>
      </c>
      <c r="F4" s="157" t="s">
        <v>191</v>
      </c>
      <c r="G4" s="157" t="s">
        <v>192</v>
      </c>
      <c r="H4" s="157" t="s">
        <v>193</v>
      </c>
      <c r="I4" s="157" t="s">
        <v>194</v>
      </c>
      <c r="J4" s="228" t="s">
        <v>195</v>
      </c>
    </row>
    <row r="5" spans="1:10" ht="12">
      <c r="A5" s="229" t="s">
        <v>287</v>
      </c>
      <c r="B5" s="230" t="s">
        <v>288</v>
      </c>
      <c r="C5" s="231" t="e">
        <f>'BALANCE GENERAL 1'!#REF!</f>
        <v>#REF!</v>
      </c>
      <c r="D5" s="231" t="e">
        <f>'BALANCE GENERAL 1'!#REF!</f>
        <v>#REF!</v>
      </c>
      <c r="E5" s="231" t="e">
        <f>'BALANCE GENERAL 1'!#REF!</f>
        <v>#REF!</v>
      </c>
      <c r="F5" s="231" t="e">
        <f>'BALANCE GENERAL 1'!#REF!</f>
        <v>#REF!</v>
      </c>
      <c r="G5" s="231" t="e">
        <f>'BALANCE GENERAL 1'!#REF!</f>
        <v>#REF!</v>
      </c>
      <c r="H5" s="231" t="e">
        <f>'BALANCE GENERAL 1'!#REF!</f>
        <v>#REF!</v>
      </c>
      <c r="I5" s="231" t="e">
        <f>'BALANCE GENERAL 1'!#REF!</f>
        <v>#REF!</v>
      </c>
      <c r="J5" s="232" t="e">
        <f>'BALANCE GENERAL 1'!#REF!</f>
        <v>#REF!</v>
      </c>
    </row>
    <row r="6" spans="1:10" ht="12">
      <c r="A6" s="229" t="s">
        <v>289</v>
      </c>
      <c r="B6" s="230" t="s">
        <v>290</v>
      </c>
      <c r="C6" s="231" t="e">
        <f>'BALANCE GENERAL 1'!#REF!</f>
        <v>#REF!</v>
      </c>
      <c r="D6" s="231" t="e">
        <f>'BALANCE GENERAL 1'!#REF!</f>
        <v>#REF!</v>
      </c>
      <c r="E6" s="231" t="e">
        <f>'BALANCE GENERAL 1'!#REF!</f>
        <v>#REF!</v>
      </c>
      <c r="F6" s="231" t="e">
        <f>'BALANCE GENERAL 1'!#REF!</f>
        <v>#REF!</v>
      </c>
      <c r="G6" s="231" t="e">
        <f>'BALANCE GENERAL 1'!#REF!</f>
        <v>#REF!</v>
      </c>
      <c r="H6" s="231" t="e">
        <f>'BALANCE GENERAL 1'!#REF!</f>
        <v>#REF!</v>
      </c>
      <c r="I6" s="231" t="e">
        <f>'BALANCE GENERAL 1'!#REF!</f>
        <v>#REF!</v>
      </c>
      <c r="J6" s="232" t="e">
        <f>'BALANCE GENERAL 1'!#REF!</f>
        <v>#REF!</v>
      </c>
    </row>
    <row r="7" spans="1:10" ht="12">
      <c r="A7" s="229" t="s">
        <v>204</v>
      </c>
      <c r="B7" s="230" t="s">
        <v>291</v>
      </c>
      <c r="C7" s="231" t="e">
        <f>'BALANCE GENERAL 1'!#REF!</f>
        <v>#REF!</v>
      </c>
      <c r="D7" s="231" t="e">
        <f>'BALANCE GENERAL 1'!#REF!</f>
        <v>#REF!</v>
      </c>
      <c r="E7" s="231" t="e">
        <f>'BALANCE GENERAL 1'!#REF!</f>
        <v>#REF!</v>
      </c>
      <c r="F7" s="231" t="e">
        <f>'BALANCE GENERAL 1'!#REF!</f>
        <v>#REF!</v>
      </c>
      <c r="G7" s="231" t="e">
        <f>'BALANCE GENERAL 1'!#REF!</f>
        <v>#REF!</v>
      </c>
      <c r="H7" s="231" t="e">
        <f>'BALANCE GENERAL 1'!#REF!</f>
        <v>#REF!</v>
      </c>
      <c r="I7" s="231" t="e">
        <f>'BALANCE GENERAL 1'!#REF!</f>
        <v>#REF!</v>
      </c>
      <c r="J7" s="232" t="e">
        <f>'BALANCE GENERAL 1'!#REF!</f>
        <v>#REF!</v>
      </c>
    </row>
    <row r="8" spans="1:10" ht="12">
      <c r="A8" s="229" t="s">
        <v>199</v>
      </c>
      <c r="B8" s="230" t="s">
        <v>292</v>
      </c>
      <c r="C8" s="231" t="e">
        <f>'BALANCE GENERAL 1'!#REF!</f>
        <v>#REF!</v>
      </c>
      <c r="D8" s="231" t="e">
        <f>'BALANCE GENERAL 1'!#REF!</f>
        <v>#REF!</v>
      </c>
      <c r="E8" s="231" t="e">
        <f>'BALANCE GENERAL 1'!#REF!</f>
        <v>#REF!</v>
      </c>
      <c r="F8" s="231" t="e">
        <f>'BALANCE GENERAL 1'!#REF!</f>
        <v>#REF!</v>
      </c>
      <c r="G8" s="231" t="e">
        <f>'BALANCE GENERAL 1'!#REF!</f>
        <v>#REF!</v>
      </c>
      <c r="H8" s="231" t="e">
        <f>'BALANCE GENERAL 1'!#REF!</f>
        <v>#REF!</v>
      </c>
      <c r="I8" s="231" t="e">
        <f>'BALANCE GENERAL 1'!#REF!</f>
        <v>#REF!</v>
      </c>
      <c r="J8" s="232" t="e">
        <f>'BALANCE GENERAL 1'!#REF!</f>
        <v>#REF!</v>
      </c>
    </row>
    <row r="9" spans="1:10" ht="12">
      <c r="A9" s="229" t="s">
        <v>293</v>
      </c>
      <c r="B9" s="230" t="s">
        <v>294</v>
      </c>
      <c r="C9" s="231" t="e">
        <f>'BALANCE GENERAL 1'!#REF!</f>
        <v>#REF!</v>
      </c>
      <c r="D9" s="231" t="e">
        <f>'BALANCE GENERAL 1'!#REF!</f>
        <v>#REF!</v>
      </c>
      <c r="E9" s="231" t="e">
        <f>'BALANCE GENERAL 1'!#REF!</f>
        <v>#REF!</v>
      </c>
      <c r="F9" s="231" t="e">
        <f>'BALANCE GENERAL 1'!#REF!</f>
        <v>#REF!</v>
      </c>
      <c r="G9" s="231" t="e">
        <f>'BALANCE GENERAL 1'!#REF!</f>
        <v>#REF!</v>
      </c>
      <c r="H9" s="231" t="e">
        <f>'BALANCE GENERAL 1'!#REF!</f>
        <v>#REF!</v>
      </c>
      <c r="I9" s="231" t="e">
        <f>'BALANCE GENERAL 1'!#REF!</f>
        <v>#REF!</v>
      </c>
      <c r="J9" s="232" t="e">
        <f>'BALANCE GENERAL 1'!#REF!</f>
        <v>#REF!</v>
      </c>
    </row>
    <row r="10" spans="1:10" ht="12">
      <c r="A10" s="229" t="s">
        <v>295</v>
      </c>
      <c r="B10" s="230" t="s">
        <v>296</v>
      </c>
      <c r="C10" s="231">
        <v>0</v>
      </c>
      <c r="D10" s="231">
        <v>0</v>
      </c>
      <c r="E10" s="231">
        <v>0</v>
      </c>
      <c r="F10" s="231">
        <v>0</v>
      </c>
      <c r="G10" s="231">
        <v>0</v>
      </c>
      <c r="H10" s="231">
        <v>0</v>
      </c>
      <c r="I10" s="231">
        <v>0</v>
      </c>
      <c r="J10" s="232">
        <v>0</v>
      </c>
    </row>
    <row r="11" spans="1:10" ht="12">
      <c r="A11" s="229" t="s">
        <v>297</v>
      </c>
      <c r="B11" s="230" t="s">
        <v>298</v>
      </c>
      <c r="C11" s="231" t="e">
        <f>'BALANCE GENERAL 1'!#REF!</f>
        <v>#REF!</v>
      </c>
      <c r="D11" s="231" t="e">
        <f>'BALANCE GENERAL 1'!#REF!</f>
        <v>#REF!</v>
      </c>
      <c r="E11" s="231" t="e">
        <f>'BALANCE GENERAL 1'!#REF!</f>
        <v>#REF!</v>
      </c>
      <c r="F11" s="231" t="e">
        <f>'BALANCE GENERAL 1'!#REF!</f>
        <v>#REF!</v>
      </c>
      <c r="G11" s="231" t="e">
        <f>'BALANCE GENERAL 1'!#REF!</f>
        <v>#REF!</v>
      </c>
      <c r="H11" s="231" t="e">
        <f>'BALANCE GENERAL 1'!#REF!</f>
        <v>#REF!</v>
      </c>
      <c r="I11" s="231" t="e">
        <f>'BALANCE GENERAL 1'!#REF!</f>
        <v>#REF!</v>
      </c>
      <c r="J11" s="232" t="e">
        <f>'BALANCE GENERAL 1'!#REF!</f>
        <v>#REF!</v>
      </c>
    </row>
    <row r="12" spans="1:10" ht="12">
      <c r="A12" s="229" t="s">
        <v>299</v>
      </c>
      <c r="B12" s="230" t="s">
        <v>300</v>
      </c>
      <c r="C12" s="231" t="e">
        <f>'BALANCE GENERAL 1'!#REF!</f>
        <v>#REF!</v>
      </c>
      <c r="D12" s="231" t="e">
        <f>'BALANCE GENERAL 1'!#REF!</f>
        <v>#REF!</v>
      </c>
      <c r="E12" s="231" t="e">
        <f>'BALANCE GENERAL 1'!#REF!</f>
        <v>#REF!</v>
      </c>
      <c r="F12" s="231" t="e">
        <f>'BALANCE GENERAL 1'!#REF!</f>
        <v>#REF!</v>
      </c>
      <c r="G12" s="231" t="e">
        <f>'BALANCE GENERAL 1'!#REF!</f>
        <v>#REF!</v>
      </c>
      <c r="H12" s="231" t="e">
        <f>'BALANCE GENERAL 1'!#REF!</f>
        <v>#REF!</v>
      </c>
      <c r="I12" s="231" t="e">
        <f>'BALANCE GENERAL 1'!#REF!</f>
        <v>#REF!</v>
      </c>
      <c r="J12" s="232" t="e">
        <f>'BALANCE GENERAL 1'!#REF!</f>
        <v>#REF!</v>
      </c>
    </row>
    <row r="13" spans="1:10" ht="12">
      <c r="A13" s="229" t="s">
        <v>210</v>
      </c>
      <c r="B13" s="230" t="s">
        <v>211</v>
      </c>
      <c r="C13" s="231" t="e">
        <f>'BALANCE GENERAL 1'!#REF!</f>
        <v>#REF!</v>
      </c>
      <c r="D13" s="231" t="e">
        <f>'BALANCE GENERAL 1'!#REF!</f>
        <v>#REF!</v>
      </c>
      <c r="E13" s="231" t="e">
        <f>'BALANCE GENERAL 1'!#REF!</f>
        <v>#REF!</v>
      </c>
      <c r="F13" s="231" t="e">
        <f>'BALANCE GENERAL 1'!#REF!</f>
        <v>#REF!</v>
      </c>
      <c r="G13" s="231" t="e">
        <f>'BALANCE GENERAL 1'!#REF!</f>
        <v>#REF!</v>
      </c>
      <c r="H13" s="231" t="e">
        <f>'BALANCE GENERAL 1'!#REF!</f>
        <v>#REF!</v>
      </c>
      <c r="I13" s="231" t="e">
        <f>'BALANCE GENERAL 1'!#REF!</f>
        <v>#REF!</v>
      </c>
      <c r="J13" s="232" t="e">
        <f>'BALANCE GENERAL 1'!#REF!</f>
        <v>#REF!</v>
      </c>
    </row>
    <row r="14" spans="1:10" ht="12">
      <c r="A14" s="229" t="s">
        <v>301</v>
      </c>
      <c r="B14" s="230" t="s">
        <v>302</v>
      </c>
      <c r="C14" s="231" t="e">
        <f>'BALANCE GENERAL 1'!#REF!</f>
        <v>#REF!</v>
      </c>
      <c r="D14" s="231" t="e">
        <f>'BALANCE GENERAL 1'!#REF!</f>
        <v>#REF!</v>
      </c>
      <c r="E14" s="231" t="e">
        <f>'BALANCE GENERAL 1'!#REF!</f>
        <v>#REF!</v>
      </c>
      <c r="F14" s="231" t="e">
        <f>'BALANCE GENERAL 1'!#REF!</f>
        <v>#REF!</v>
      </c>
      <c r="G14" s="231" t="e">
        <f>'BALANCE GENERAL 1'!#REF!</f>
        <v>#REF!</v>
      </c>
      <c r="H14" s="231" t="e">
        <f>'BALANCE GENERAL 1'!#REF!</f>
        <v>#REF!</v>
      </c>
      <c r="I14" s="231" t="e">
        <f>'BALANCE GENERAL 1'!#REF!</f>
        <v>#REF!</v>
      </c>
      <c r="J14" s="232" t="e">
        <f>'BALANCE GENERAL 1'!#REF!</f>
        <v>#REF!</v>
      </c>
    </row>
    <row r="15" spans="1:10" ht="12">
      <c r="A15" s="229" t="s">
        <v>303</v>
      </c>
      <c r="B15" s="230" t="s">
        <v>304</v>
      </c>
      <c r="C15" s="231">
        <f>'ESTADO DE GANACIAS Y PERDIDAS'!B15+'ESTADO DE GANACIAS Y PERDIDAS'!C15+'ESTADO DE GANACIAS Y PERDIDAS'!D15</f>
        <v>19262.60920292534</v>
      </c>
      <c r="D15" s="231">
        <f>'ESTADO DE GANACIAS Y PERDIDAS'!E15+'ESTADO DE GANACIAS Y PERDIDAS'!F15+'ESTADO DE GANACIAS Y PERDIDAS'!G15</f>
        <v>25933.29109871877</v>
      </c>
      <c r="E15" s="231">
        <f>'ESTADO DE GANACIAS Y PERDIDAS'!H15+'ESTADO DE GANACIAS Y PERDIDAS'!I15+'ESTADO DE GANACIAS Y PERDIDAS'!J15</f>
        <v>22664.826788976126</v>
      </c>
      <c r="F15" s="231">
        <f>'ESTADO DE GANACIAS Y PERDIDAS'!K15+'ESTADO DE GANACIAS Y PERDIDAS'!L15+'ESTADO DE GANACIAS Y PERDIDAS'!M15</f>
        <v>30475.244616896394</v>
      </c>
      <c r="G15" s="231">
        <f>'ESTADO DE GANACIAS Y PERDIDAS'!N15+'ESTADO DE GANACIAS Y PERDIDAS'!O15+'ESTADO DE GANACIAS Y PERDIDAS'!P15</f>
        <v>19516.56115314319</v>
      </c>
      <c r="H15" s="231">
        <f>'ESTADO DE GANACIAS Y PERDIDAS'!Q15+'ESTADO DE GANACIAS Y PERDIDAS'!R15+'ESTADO DE GANACIAS Y PERDIDAS'!S15</f>
        <v>26085.497200036596</v>
      </c>
      <c r="I15" s="231">
        <f>'ESTADO DE GANACIAS Y PERDIDAS'!T15+'ESTADO DE GANACIAS Y PERDIDAS'!U15+'ESTADO DE GANACIAS Y PERDIDAS'!V15</f>
        <v>22819.83779582216</v>
      </c>
      <c r="J15" s="232">
        <f>'ESTADO DE GANACIAS Y PERDIDAS'!W15+'ESTADO DE GANACIAS Y PERDIDAS'!X15+'ESTADO DE GANACIAS Y PERDIDAS'!Y15</f>
        <v>30633.112219018636</v>
      </c>
    </row>
    <row r="16" spans="1:10" ht="12">
      <c r="A16" s="229" t="s">
        <v>305</v>
      </c>
      <c r="B16" s="230" t="s">
        <v>306</v>
      </c>
      <c r="C16" s="231">
        <f>'ESTADO DE GANACIAS Y PERDIDAS'!B4+'ESTADO DE GANACIAS Y PERDIDAS'!C4+'ESTADO DE GANACIAS Y PERDIDAS'!D4</f>
        <v>111540</v>
      </c>
      <c r="D16" s="231">
        <f>'ESTADO DE GANACIAS Y PERDIDAS'!E4+'ESTADO DE GANACIAS Y PERDIDAS'!F4+'ESTADO DE GANACIAS Y PERDIDAS'!G4</f>
        <v>137580</v>
      </c>
      <c r="E16" s="231">
        <f>'ESTADO DE GANACIAS Y PERDIDAS'!H4+'ESTADO DE GANACIAS Y PERDIDAS'!I4+'ESTADO DE GANACIAS Y PERDIDAS'!J4</f>
        <v>129780</v>
      </c>
      <c r="F16" s="231">
        <f>'ESTADO DE GANACIAS Y PERDIDAS'!K4+'ESTADO DE GANACIAS Y PERDIDAS'!L4+'ESTADO DE GANACIAS Y PERDIDAS'!M4</f>
        <v>154700</v>
      </c>
      <c r="G16" s="231">
        <f>'ESTADO DE GANACIAS Y PERDIDAS'!N4+'ESTADO DE GANACIAS Y PERDIDAS'!O4+'ESTADO DE GANACIAS Y PERDIDAS'!P4</f>
        <v>111540</v>
      </c>
      <c r="H16" s="231">
        <f>'ESTADO DE GANACIAS Y PERDIDAS'!Q4+'ESTADO DE GANACIAS Y PERDIDAS'!R4+'ESTADO DE GANACIAS Y PERDIDAS'!S4</f>
        <v>137580</v>
      </c>
      <c r="I16" s="231">
        <f>'ESTADO DE GANACIAS Y PERDIDAS'!T4+'ESTADO DE GANACIAS Y PERDIDAS'!U4+'ESTADO DE GANACIAS Y PERDIDAS'!V4</f>
        <v>129780</v>
      </c>
      <c r="J16" s="232">
        <f>'ESTADO DE GANACIAS Y PERDIDAS'!W4+'ESTADO DE GANACIAS Y PERDIDAS'!X4+'ESTADO DE GANACIAS Y PERDIDAS'!Y4</f>
        <v>154700</v>
      </c>
    </row>
    <row r="17" spans="1:10" ht="12">
      <c r="A17" s="229" t="s">
        <v>307</v>
      </c>
      <c r="B17" s="230" t="s">
        <v>202</v>
      </c>
      <c r="C17" s="231">
        <v>0</v>
      </c>
      <c r="D17" s="231">
        <v>0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2">
        <v>0</v>
      </c>
    </row>
    <row r="18" spans="1:10" ht="12">
      <c r="A18" s="229" t="s">
        <v>308</v>
      </c>
      <c r="B18" s="230" t="s">
        <v>309</v>
      </c>
      <c r="C18" s="231">
        <f>'ESTADO DE GANACIAS Y PERDIDAS'!B5+'ESTADO DE GANACIAS Y PERDIDAS'!C5+'ESTADO DE GANACIAS Y PERDIDAS'!D5</f>
        <v>82688.812</v>
      </c>
      <c r="D18" s="231">
        <f>'ESTADO DE GANACIAS Y PERDIDAS'!E5+'ESTADO DE GANACIAS Y PERDIDAS'!F5+'ESTADO DE GANACIAS Y PERDIDAS'!G5</f>
        <v>102094.476</v>
      </c>
      <c r="E18" s="231">
        <f>'ESTADO DE GANACIAS Y PERDIDAS'!H5+'ESTADO DE GANACIAS Y PERDIDAS'!I5+'ESTADO DE GANACIAS Y PERDIDAS'!J5</f>
        <v>96319.206</v>
      </c>
      <c r="F18" s="231">
        <f>'ESTADO DE GANACIAS Y PERDIDAS'!K5+'ESTADO DE GANACIAS Y PERDIDAS'!L5+'ESTADO DE GANACIAS Y PERDIDAS'!M5</f>
        <v>113466.486</v>
      </c>
      <c r="G18" s="231">
        <f>'ESTADO DE GANACIAS Y PERDIDAS'!N5+'ESTADO DE GANACIAS Y PERDIDAS'!O5+'ESTADO DE GANACIAS Y PERDIDAS'!P5</f>
        <v>82584.312</v>
      </c>
      <c r="H18" s="231">
        <f>'ESTADO DE GANACIAS Y PERDIDAS'!Q5+'ESTADO DE GANACIAS Y PERDIDAS'!R5+'ESTADO DE GANACIAS Y PERDIDAS'!S5</f>
        <v>102094.476</v>
      </c>
      <c r="I18" s="231">
        <f>'ESTADO DE GANACIAS Y PERDIDAS'!T5+'ESTADO DE GANACIAS Y PERDIDAS'!U5+'ESTADO DE GANACIAS Y PERDIDAS'!V5</f>
        <v>96319.206</v>
      </c>
      <c r="J18" s="232">
        <f>'ESTADO DE GANACIAS Y PERDIDAS'!W5+'ESTADO DE GANACIAS Y PERDIDAS'!X5+'ESTADO DE GANACIAS Y PERDIDAS'!Y5</f>
        <v>113466.486</v>
      </c>
    </row>
    <row r="19" spans="1:10" ht="12">
      <c r="A19" s="229" t="s">
        <v>310</v>
      </c>
      <c r="B19" s="230" t="s">
        <v>311</v>
      </c>
      <c r="C19" s="231" t="e">
        <f>'BALANCE GENERAL 1'!#REF!</f>
        <v>#REF!</v>
      </c>
      <c r="D19" s="231" t="e">
        <f>'BALANCE GENERAL 1'!#REF!</f>
        <v>#REF!</v>
      </c>
      <c r="E19" s="231" t="e">
        <f>'BALANCE GENERAL 1'!#REF!</f>
        <v>#REF!</v>
      </c>
      <c r="F19" s="231" t="e">
        <f>'BALANCE GENERAL 1'!#REF!</f>
        <v>#REF!</v>
      </c>
      <c r="G19" s="231" t="e">
        <f>'BALANCE GENERAL 1'!#REF!</f>
        <v>#REF!</v>
      </c>
      <c r="H19" s="231" t="e">
        <f>'BALANCE GENERAL 1'!#REF!</f>
        <v>#REF!</v>
      </c>
      <c r="I19" s="231" t="e">
        <f>'BALANCE GENERAL 1'!#REF!</f>
        <v>#REF!</v>
      </c>
      <c r="J19" s="232" t="e">
        <f>'BALANCE GENERAL 1'!#REF!</f>
        <v>#REF!</v>
      </c>
    </row>
    <row r="20" spans="1:10" ht="12">
      <c r="A20" s="229" t="s">
        <v>312</v>
      </c>
      <c r="B20" s="230" t="s">
        <v>313</v>
      </c>
      <c r="C20" s="231" t="e">
        <f>C11</f>
        <v>#REF!</v>
      </c>
      <c r="D20" s="231" t="e">
        <f aca="true" t="shared" si="0" ref="D20:J20">D11</f>
        <v>#REF!</v>
      </c>
      <c r="E20" s="231" t="e">
        <f t="shared" si="0"/>
        <v>#REF!</v>
      </c>
      <c r="F20" s="231" t="e">
        <f t="shared" si="0"/>
        <v>#REF!</v>
      </c>
      <c r="G20" s="231" t="e">
        <f t="shared" si="0"/>
        <v>#REF!</v>
      </c>
      <c r="H20" s="231" t="e">
        <f t="shared" si="0"/>
        <v>#REF!</v>
      </c>
      <c r="I20" s="231" t="e">
        <f t="shared" si="0"/>
        <v>#REF!</v>
      </c>
      <c r="J20" s="232" t="e">
        <f t="shared" si="0"/>
        <v>#REF!</v>
      </c>
    </row>
    <row r="21" spans="1:10" ht="12">
      <c r="A21" s="229" t="s">
        <v>314</v>
      </c>
      <c r="B21" s="230" t="s">
        <v>315</v>
      </c>
      <c r="C21" s="231">
        <f>'FLUJO DE CAJA ECON FINANCI'!C15+'FLUJO DE CAJA ECON FINANCI'!D15+'FLUJO DE CAJA ECON FINANCI'!E15</f>
        <v>296.3496304079953</v>
      </c>
      <c r="D21" s="231">
        <f>'FLUJO DE CAJA ECON FINANCI'!F15+'FLUJO DE CAJA ECON FINANCI'!G15+'FLUJO DE CAJA ECON FINANCI'!H15</f>
        <v>260.00373461456525</v>
      </c>
      <c r="E21" s="231">
        <f>'FLUJO DE CAJA ECON FINANCI'!I15+'FLUJO DE CAJA ECON FINANCI'!J15+'FLUJO DE CAJA ECON FINANCI'!K15</f>
        <v>222.9880443572083</v>
      </c>
      <c r="F21" s="231">
        <f>'FLUJO DE CAJA ECON FINANCI'!L15</f>
        <v>65.98609874770784</v>
      </c>
      <c r="G21" s="231">
        <v>0</v>
      </c>
      <c r="H21" s="231">
        <v>0</v>
      </c>
      <c r="I21" s="231">
        <v>0</v>
      </c>
      <c r="J21" s="232">
        <v>0</v>
      </c>
    </row>
    <row r="22" spans="1:10" ht="12">
      <c r="A22" s="229" t="s">
        <v>316</v>
      </c>
      <c r="B22" s="230" t="s">
        <v>317</v>
      </c>
      <c r="C22" s="231">
        <f>'ESTADO DE GANACIAS Y PERDIDAS'!B10+'ESTADO DE GANACIAS Y PERDIDAS'!B11+'ESTADO DE GANACIAS Y PERDIDAS'!C10+'ESTADO DE GANACIAS Y PERDIDAS'!C11+'ESTADO DE GANACIAS Y PERDIDAS'!D10+'ESTADO DE GANACIAS Y PERDIDAS'!D11</f>
        <v>9043.364583333334</v>
      </c>
      <c r="D22" s="231">
        <f>C22</f>
        <v>9043.364583333334</v>
      </c>
      <c r="E22" s="231">
        <f>'ESTADO DE GANACIAS Y PERDIDAS'!H10+'ESTADO DE GANACIAS Y PERDIDAS'!H11+'ESTADO DE GANACIAS Y PERDIDAS'!I10+'ESTADO DE GANACIAS Y PERDIDAS'!I11+'ESTADO DE GANACIAS Y PERDIDAS'!J10+'ESTADO DE GANACIAS Y PERDIDAS'!J11</f>
        <v>10324.114583333334</v>
      </c>
      <c r="F22" s="231">
        <f>E22</f>
        <v>10324.114583333334</v>
      </c>
      <c r="G22" s="231">
        <f>C22</f>
        <v>9043.364583333334</v>
      </c>
      <c r="H22" s="231">
        <f>D22</f>
        <v>9043.364583333334</v>
      </c>
      <c r="I22" s="231">
        <f>E22</f>
        <v>10324.114583333334</v>
      </c>
      <c r="J22" s="232">
        <f>F22</f>
        <v>10324.114583333334</v>
      </c>
    </row>
    <row r="23" spans="1:10" ht="12.75" thickBot="1">
      <c r="A23" s="233" t="s">
        <v>318</v>
      </c>
      <c r="B23" s="234" t="s">
        <v>319</v>
      </c>
      <c r="C23" s="235" t="e">
        <f>'BALANCE GENERAL 1'!#REF!</f>
        <v>#REF!</v>
      </c>
      <c r="D23" s="235" t="e">
        <f>'BALANCE GENERAL 1'!#REF!</f>
        <v>#REF!</v>
      </c>
      <c r="E23" s="235" t="e">
        <f>'BALANCE GENERAL 1'!#REF!</f>
        <v>#REF!</v>
      </c>
      <c r="F23" s="235" t="e">
        <f>'BALANCE GENERAL 1'!#REF!</f>
        <v>#REF!</v>
      </c>
      <c r="G23" s="235" t="e">
        <f>'BALANCE GENERAL 1'!#REF!</f>
        <v>#REF!</v>
      </c>
      <c r="H23" s="235" t="e">
        <f>'BALANCE GENERAL 1'!#REF!</f>
        <v>#REF!</v>
      </c>
      <c r="I23" s="235" t="e">
        <f>'BALANCE GENERAL 1'!#REF!</f>
        <v>#REF!</v>
      </c>
      <c r="J23" s="236" t="e">
        <f>'BALANCE GENERAL 1'!#REF!</f>
        <v>#REF!</v>
      </c>
    </row>
    <row r="25" ht="12.75" thickBot="1"/>
    <row r="26" spans="2:10" ht="23.25" thickBot="1">
      <c r="B26" s="237" t="s">
        <v>320</v>
      </c>
      <c r="C26" s="238" t="s">
        <v>188</v>
      </c>
      <c r="D26" s="239" t="s">
        <v>189</v>
      </c>
      <c r="E26" s="239" t="s">
        <v>190</v>
      </c>
      <c r="F26" s="239" t="s">
        <v>191</v>
      </c>
      <c r="G26" s="239" t="s">
        <v>192</v>
      </c>
      <c r="H26" s="239" t="s">
        <v>193</v>
      </c>
      <c r="I26" s="239" t="s">
        <v>194</v>
      </c>
      <c r="J26" s="240" t="s">
        <v>195</v>
      </c>
    </row>
    <row r="27" spans="2:10" ht="12">
      <c r="B27" s="241" t="s">
        <v>321</v>
      </c>
      <c r="C27" s="242" t="e">
        <f>C5/C6</f>
        <v>#REF!</v>
      </c>
      <c r="D27" s="243" t="e">
        <f aca="true" t="shared" si="1" ref="D27:J27">D5/D6</f>
        <v>#REF!</v>
      </c>
      <c r="E27" s="244" t="e">
        <f t="shared" si="1"/>
        <v>#REF!</v>
      </c>
      <c r="F27" s="244" t="e">
        <f t="shared" si="1"/>
        <v>#REF!</v>
      </c>
      <c r="G27" s="244" t="e">
        <f t="shared" si="1"/>
        <v>#REF!</v>
      </c>
      <c r="H27" s="244" t="e">
        <f t="shared" si="1"/>
        <v>#REF!</v>
      </c>
      <c r="I27" s="244" t="e">
        <f t="shared" si="1"/>
        <v>#REF!</v>
      </c>
      <c r="J27" s="245" t="e">
        <f t="shared" si="1"/>
        <v>#REF!</v>
      </c>
    </row>
    <row r="28" spans="2:10" ht="12">
      <c r="B28" s="246" t="s">
        <v>322</v>
      </c>
      <c r="C28" s="247" t="e">
        <f>(C5-C7)/C6</f>
        <v>#REF!</v>
      </c>
      <c r="D28" s="248" t="e">
        <f aca="true" t="shared" si="2" ref="D28:J28">(D5-D7)/D6</f>
        <v>#REF!</v>
      </c>
      <c r="E28" s="249" t="e">
        <f t="shared" si="2"/>
        <v>#REF!</v>
      </c>
      <c r="F28" s="249" t="e">
        <f t="shared" si="2"/>
        <v>#REF!</v>
      </c>
      <c r="G28" s="249" t="e">
        <f t="shared" si="2"/>
        <v>#REF!</v>
      </c>
      <c r="H28" s="249" t="e">
        <f t="shared" si="2"/>
        <v>#REF!</v>
      </c>
      <c r="I28" s="249" t="e">
        <f t="shared" si="2"/>
        <v>#REF!</v>
      </c>
      <c r="J28" s="250" t="e">
        <f t="shared" si="2"/>
        <v>#REF!</v>
      </c>
    </row>
    <row r="29" spans="2:11" ht="12">
      <c r="B29" s="251" t="s">
        <v>323</v>
      </c>
      <c r="C29" s="247" t="e">
        <f>C8/C6</f>
        <v>#REF!</v>
      </c>
      <c r="D29" s="248" t="e">
        <f aca="true" t="shared" si="3" ref="D29:J29">D8/D6</f>
        <v>#REF!</v>
      </c>
      <c r="E29" s="249" t="e">
        <f t="shared" si="3"/>
        <v>#REF!</v>
      </c>
      <c r="F29" s="249" t="e">
        <f t="shared" si="3"/>
        <v>#REF!</v>
      </c>
      <c r="G29" s="249" t="e">
        <f t="shared" si="3"/>
        <v>#REF!</v>
      </c>
      <c r="H29" s="249" t="e">
        <f t="shared" si="3"/>
        <v>#REF!</v>
      </c>
      <c r="I29" s="249" t="e">
        <f t="shared" si="3"/>
        <v>#REF!</v>
      </c>
      <c r="J29" s="250" t="e">
        <f t="shared" si="3"/>
        <v>#REF!</v>
      </c>
      <c r="K29" s="140"/>
    </row>
    <row r="30" spans="2:10" ht="12.75" thickBot="1">
      <c r="B30" s="252" t="s">
        <v>324</v>
      </c>
      <c r="C30" s="253" t="e">
        <f>C5-C6</f>
        <v>#REF!</v>
      </c>
      <c r="D30" s="254" t="e">
        <f aca="true" t="shared" si="4" ref="D30:J30">D5-D6</f>
        <v>#REF!</v>
      </c>
      <c r="E30" s="255" t="e">
        <f t="shared" si="4"/>
        <v>#REF!</v>
      </c>
      <c r="F30" s="255" t="e">
        <f t="shared" si="4"/>
        <v>#REF!</v>
      </c>
      <c r="G30" s="255" t="e">
        <f t="shared" si="4"/>
        <v>#REF!</v>
      </c>
      <c r="H30" s="255" t="e">
        <f t="shared" si="4"/>
        <v>#REF!</v>
      </c>
      <c r="I30" s="255" t="e">
        <f t="shared" si="4"/>
        <v>#REF!</v>
      </c>
      <c r="J30" s="256" t="e">
        <f t="shared" si="4"/>
        <v>#REF!</v>
      </c>
    </row>
    <row r="31" ht="12.75" thickBot="1"/>
    <row r="32" spans="2:10" ht="23.25" thickBot="1">
      <c r="B32" s="257" t="s">
        <v>325</v>
      </c>
      <c r="C32" s="238" t="s">
        <v>188</v>
      </c>
      <c r="D32" s="239" t="s">
        <v>189</v>
      </c>
      <c r="E32" s="239" t="s">
        <v>190</v>
      </c>
      <c r="F32" s="239" t="s">
        <v>191</v>
      </c>
      <c r="G32" s="239" t="s">
        <v>192</v>
      </c>
      <c r="H32" s="239" t="s">
        <v>193</v>
      </c>
      <c r="I32" s="239" t="s">
        <v>194</v>
      </c>
      <c r="J32" s="240" t="s">
        <v>195</v>
      </c>
    </row>
    <row r="33" spans="2:10" ht="12">
      <c r="B33" s="241" t="s">
        <v>326</v>
      </c>
      <c r="C33" s="242" t="e">
        <f>C16/C13</f>
        <v>#REF!</v>
      </c>
      <c r="D33" s="243" t="e">
        <f aca="true" t="shared" si="5" ref="D33:J33">D16/D13</f>
        <v>#REF!</v>
      </c>
      <c r="E33" s="243" t="e">
        <f t="shared" si="5"/>
        <v>#REF!</v>
      </c>
      <c r="F33" s="243" t="e">
        <f t="shared" si="5"/>
        <v>#REF!</v>
      </c>
      <c r="G33" s="243" t="e">
        <f t="shared" si="5"/>
        <v>#REF!</v>
      </c>
      <c r="H33" s="243" t="e">
        <f t="shared" si="5"/>
        <v>#REF!</v>
      </c>
      <c r="I33" s="243" t="e">
        <f>I16/I13</f>
        <v>#REF!</v>
      </c>
      <c r="J33" s="258" t="e">
        <f t="shared" si="5"/>
        <v>#REF!</v>
      </c>
    </row>
    <row r="34" spans="2:10" ht="12">
      <c r="B34" s="246" t="s">
        <v>327</v>
      </c>
      <c r="C34" s="247" t="e">
        <f aca="true" t="shared" si="6" ref="C34:H34">C18/C7</f>
        <v>#REF!</v>
      </c>
      <c r="D34" s="248" t="e">
        <f t="shared" si="6"/>
        <v>#REF!</v>
      </c>
      <c r="E34" s="248" t="e">
        <f t="shared" si="6"/>
        <v>#REF!</v>
      </c>
      <c r="F34" s="248" t="e">
        <f t="shared" si="6"/>
        <v>#REF!</v>
      </c>
      <c r="G34" s="248" t="e">
        <f t="shared" si="6"/>
        <v>#REF!</v>
      </c>
      <c r="H34" s="248" t="e">
        <f t="shared" si="6"/>
        <v>#REF!</v>
      </c>
      <c r="I34" s="248" t="e">
        <f>I18/I7</f>
        <v>#REF!</v>
      </c>
      <c r="J34" s="259" t="e">
        <f>J18/J7</f>
        <v>#REF!</v>
      </c>
    </row>
    <row r="35" spans="2:10" ht="12">
      <c r="B35" s="246" t="s">
        <v>328</v>
      </c>
      <c r="C35" s="247" t="e">
        <f aca="true" t="shared" si="7" ref="C35:H35">C8/C16*360</f>
        <v>#REF!</v>
      </c>
      <c r="D35" s="248" t="e">
        <f t="shared" si="7"/>
        <v>#REF!</v>
      </c>
      <c r="E35" s="248" t="e">
        <f t="shared" si="7"/>
        <v>#REF!</v>
      </c>
      <c r="F35" s="248" t="e">
        <f t="shared" si="7"/>
        <v>#REF!</v>
      </c>
      <c r="G35" s="248" t="e">
        <f t="shared" si="7"/>
        <v>#REF!</v>
      </c>
      <c r="H35" s="248" t="e">
        <f t="shared" si="7"/>
        <v>#REF!</v>
      </c>
      <c r="I35" s="248" t="e">
        <f>I8/I16*360</f>
        <v>#REF!</v>
      </c>
      <c r="J35" s="259" t="e">
        <f>J8/J16*360</f>
        <v>#REF!</v>
      </c>
    </row>
    <row r="36" spans="2:10" ht="12">
      <c r="B36" s="246" t="s">
        <v>329</v>
      </c>
      <c r="C36" s="247" t="e">
        <f>C16/C12</f>
        <v>#REF!</v>
      </c>
      <c r="D36" s="248" t="e">
        <f aca="true" t="shared" si="8" ref="D36:J36">D16/D12</f>
        <v>#REF!</v>
      </c>
      <c r="E36" s="248" t="e">
        <f t="shared" si="8"/>
        <v>#REF!</v>
      </c>
      <c r="F36" s="248" t="e">
        <f t="shared" si="8"/>
        <v>#REF!</v>
      </c>
      <c r="G36" s="248" t="e">
        <f t="shared" si="8"/>
        <v>#REF!</v>
      </c>
      <c r="H36" s="248" t="e">
        <f t="shared" si="8"/>
        <v>#REF!</v>
      </c>
      <c r="I36" s="248" t="e">
        <f t="shared" si="8"/>
        <v>#REF!</v>
      </c>
      <c r="J36" s="259" t="e">
        <f t="shared" si="8"/>
        <v>#REF!</v>
      </c>
    </row>
    <row r="37" spans="2:11" ht="12.75" thickBot="1">
      <c r="B37" s="260" t="s">
        <v>330</v>
      </c>
      <c r="C37" s="261" t="e">
        <f>C16/C13</f>
        <v>#REF!</v>
      </c>
      <c r="D37" s="262" t="e">
        <f aca="true" t="shared" si="9" ref="D37:J37">D16/D13</f>
        <v>#REF!</v>
      </c>
      <c r="E37" s="262" t="e">
        <f t="shared" si="9"/>
        <v>#REF!</v>
      </c>
      <c r="F37" s="262" t="e">
        <f t="shared" si="9"/>
        <v>#REF!</v>
      </c>
      <c r="G37" s="262" t="e">
        <f t="shared" si="9"/>
        <v>#REF!</v>
      </c>
      <c r="H37" s="262" t="e">
        <f t="shared" si="9"/>
        <v>#REF!</v>
      </c>
      <c r="I37" s="262" t="e">
        <f t="shared" si="9"/>
        <v>#REF!</v>
      </c>
      <c r="J37" s="263" t="e">
        <f t="shared" si="9"/>
        <v>#REF!</v>
      </c>
      <c r="K37" s="140"/>
    </row>
    <row r="38" spans="3:10" ht="12.75" thickBot="1">
      <c r="C38" s="264"/>
      <c r="D38" s="264"/>
      <c r="E38" s="264"/>
      <c r="F38" s="264"/>
      <c r="G38" s="264"/>
      <c r="H38" s="264"/>
      <c r="I38" s="264"/>
      <c r="J38" s="264"/>
    </row>
    <row r="39" spans="2:10" ht="23.25" thickBot="1">
      <c r="B39" s="265" t="s">
        <v>331</v>
      </c>
      <c r="C39" s="238" t="s">
        <v>188</v>
      </c>
      <c r="D39" s="239" t="s">
        <v>189</v>
      </c>
      <c r="E39" s="239" t="s">
        <v>190</v>
      </c>
      <c r="F39" s="239" t="s">
        <v>191</v>
      </c>
      <c r="G39" s="239" t="s">
        <v>192</v>
      </c>
      <c r="H39" s="239" t="s">
        <v>193</v>
      </c>
      <c r="I39" s="239" t="s">
        <v>194</v>
      </c>
      <c r="J39" s="240" t="s">
        <v>195</v>
      </c>
    </row>
    <row r="40" spans="2:11" ht="12">
      <c r="B40" s="266" t="s">
        <v>332</v>
      </c>
      <c r="C40" s="242" t="e">
        <f>C14/C9</f>
        <v>#REF!</v>
      </c>
      <c r="D40" s="243" t="e">
        <f aca="true" t="shared" si="10" ref="D40:J40">D14/D9</f>
        <v>#REF!</v>
      </c>
      <c r="E40" s="243" t="e">
        <f t="shared" si="10"/>
        <v>#REF!</v>
      </c>
      <c r="F40" s="243" t="e">
        <f t="shared" si="10"/>
        <v>#REF!</v>
      </c>
      <c r="G40" s="243" t="e">
        <f t="shared" si="10"/>
        <v>#REF!</v>
      </c>
      <c r="H40" s="243" t="e">
        <f t="shared" si="10"/>
        <v>#REF!</v>
      </c>
      <c r="I40" s="243" t="e">
        <f t="shared" si="10"/>
        <v>#REF!</v>
      </c>
      <c r="J40" s="258" t="e">
        <f t="shared" si="10"/>
        <v>#REF!</v>
      </c>
      <c r="K40" s="140"/>
    </row>
    <row r="41" spans="2:10" ht="12.75" thickBot="1">
      <c r="B41" s="252" t="s">
        <v>333</v>
      </c>
      <c r="C41" s="261" t="e">
        <f>C14/C12</f>
        <v>#REF!</v>
      </c>
      <c r="D41" s="262" t="e">
        <f aca="true" t="shared" si="11" ref="D41:J41">D14/D12</f>
        <v>#REF!</v>
      </c>
      <c r="E41" s="262" t="e">
        <f t="shared" si="11"/>
        <v>#REF!</v>
      </c>
      <c r="F41" s="262" t="e">
        <f t="shared" si="11"/>
        <v>#REF!</v>
      </c>
      <c r="G41" s="262" t="e">
        <f t="shared" si="11"/>
        <v>#REF!</v>
      </c>
      <c r="H41" s="262" t="e">
        <f t="shared" si="11"/>
        <v>#REF!</v>
      </c>
      <c r="I41" s="262" t="e">
        <f t="shared" si="11"/>
        <v>#REF!</v>
      </c>
      <c r="J41" s="263" t="e">
        <f t="shared" si="11"/>
        <v>#REF!</v>
      </c>
    </row>
    <row r="42" spans="3:10" ht="12.75" thickBot="1">
      <c r="C42" s="267"/>
      <c r="D42" s="267"/>
      <c r="E42" s="267"/>
      <c r="F42" s="267"/>
      <c r="G42" s="267"/>
      <c r="H42" s="267"/>
      <c r="I42" s="267"/>
      <c r="J42" s="267"/>
    </row>
    <row r="43" spans="2:10" ht="23.25" thickBot="1">
      <c r="B43" s="257" t="s">
        <v>334</v>
      </c>
      <c r="C43" s="238" t="s">
        <v>188</v>
      </c>
      <c r="D43" s="239" t="s">
        <v>189</v>
      </c>
      <c r="E43" s="239" t="s">
        <v>190</v>
      </c>
      <c r="F43" s="239" t="s">
        <v>191</v>
      </c>
      <c r="G43" s="239" t="s">
        <v>192</v>
      </c>
      <c r="H43" s="239" t="s">
        <v>193</v>
      </c>
      <c r="I43" s="239" t="s">
        <v>194</v>
      </c>
      <c r="J43" s="240" t="s">
        <v>195</v>
      </c>
    </row>
    <row r="44" spans="2:11" ht="12">
      <c r="B44" s="266" t="s">
        <v>335</v>
      </c>
      <c r="C44" s="242" t="e">
        <f>C11/C12</f>
        <v>#REF!</v>
      </c>
      <c r="D44" s="243" t="e">
        <f aca="true" t="shared" si="12" ref="D44:I44">D11/D12</f>
        <v>#REF!</v>
      </c>
      <c r="E44" s="243" t="e">
        <f t="shared" si="12"/>
        <v>#REF!</v>
      </c>
      <c r="F44" s="243" t="e">
        <f t="shared" si="12"/>
        <v>#REF!</v>
      </c>
      <c r="G44" s="243" t="e">
        <f t="shared" si="12"/>
        <v>#REF!</v>
      </c>
      <c r="H44" s="243" t="e">
        <f t="shared" si="12"/>
        <v>#REF!</v>
      </c>
      <c r="I44" s="243" t="e">
        <f t="shared" si="12"/>
        <v>#REF!</v>
      </c>
      <c r="J44" s="258" t="e">
        <f>J11/J12</f>
        <v>#REF!</v>
      </c>
      <c r="K44" s="140"/>
    </row>
    <row r="45" spans="2:11" ht="12">
      <c r="B45" s="246" t="s">
        <v>336</v>
      </c>
      <c r="C45" s="247" t="e">
        <f>C11/C9</f>
        <v>#REF!</v>
      </c>
      <c r="D45" s="248" t="e">
        <f aca="true" t="shared" si="13" ref="D45:J45">D11/D9</f>
        <v>#REF!</v>
      </c>
      <c r="E45" s="248" t="e">
        <f t="shared" si="13"/>
        <v>#REF!</v>
      </c>
      <c r="F45" s="248" t="e">
        <f t="shared" si="13"/>
        <v>#REF!</v>
      </c>
      <c r="G45" s="248" t="e">
        <f t="shared" si="13"/>
        <v>#REF!</v>
      </c>
      <c r="H45" s="248" t="e">
        <f t="shared" si="13"/>
        <v>#REF!</v>
      </c>
      <c r="I45" s="248" t="e">
        <f t="shared" si="13"/>
        <v>#REF!</v>
      </c>
      <c r="J45" s="259" t="e">
        <f t="shared" si="13"/>
        <v>#REF!</v>
      </c>
      <c r="K45" s="140"/>
    </row>
    <row r="46" spans="2:10" ht="12">
      <c r="B46" s="246" t="s">
        <v>337</v>
      </c>
      <c r="C46" s="247" t="e">
        <f aca="true" t="shared" si="14" ref="C46:J46">C11/C16</f>
        <v>#REF!</v>
      </c>
      <c r="D46" s="248" t="e">
        <f t="shared" si="14"/>
        <v>#REF!</v>
      </c>
      <c r="E46" s="248" t="e">
        <f t="shared" si="14"/>
        <v>#REF!</v>
      </c>
      <c r="F46" s="249" t="e">
        <f t="shared" si="14"/>
        <v>#REF!</v>
      </c>
      <c r="G46" s="249" t="e">
        <f t="shared" si="14"/>
        <v>#REF!</v>
      </c>
      <c r="H46" s="249" t="e">
        <f t="shared" si="14"/>
        <v>#REF!</v>
      </c>
      <c r="I46" s="249" t="e">
        <f t="shared" si="14"/>
        <v>#REF!</v>
      </c>
      <c r="J46" s="250" t="e">
        <f t="shared" si="14"/>
        <v>#REF!</v>
      </c>
    </row>
    <row r="47" spans="2:10" ht="12.75" thickBot="1">
      <c r="B47" s="252" t="s">
        <v>338</v>
      </c>
      <c r="C47" s="261">
        <f aca="true" t="shared" si="15" ref="C47:H47">(C16-C18)/C16</f>
        <v>0.25866225569302487</v>
      </c>
      <c r="D47" s="262">
        <f t="shared" si="15"/>
        <v>0.2579264718709115</v>
      </c>
      <c r="E47" s="262">
        <f t="shared" si="15"/>
        <v>0.2578270457697642</v>
      </c>
      <c r="F47" s="268">
        <f t="shared" si="15"/>
        <v>0.2665385520361991</v>
      </c>
      <c r="G47" s="268">
        <f t="shared" si="15"/>
        <v>0.2595991393222162</v>
      </c>
      <c r="H47" s="268">
        <f t="shared" si="15"/>
        <v>0.2579264718709115</v>
      </c>
      <c r="I47" s="268">
        <f>(I16-I18)/I16</f>
        <v>0.2578270457697642</v>
      </c>
      <c r="J47" s="269">
        <f>(J16-J18)/J16</f>
        <v>0.2665385520361991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zoomScalePageLayoutView="0" workbookViewId="0" topLeftCell="A1">
      <selection activeCell="I10" sqref="I1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9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11.421875" defaultRowHeight="15"/>
  <cols>
    <col min="1" max="1" width="38.140625" style="108" customWidth="1"/>
    <col min="2" max="2" width="19.8515625" style="114" bestFit="1" customWidth="1"/>
    <col min="3" max="3" width="9.140625" style="108" customWidth="1"/>
    <col min="4" max="4" width="10.00390625" style="108" customWidth="1"/>
    <col min="5" max="5" width="12.7109375" style="108" bestFit="1" customWidth="1"/>
    <col min="6" max="6" width="11.421875" style="108" customWidth="1"/>
    <col min="7" max="7" width="21.8515625" style="108" customWidth="1"/>
    <col min="8" max="16384" width="11.421875" style="108" customWidth="1"/>
  </cols>
  <sheetData>
    <row r="1" spans="1:5" ht="12">
      <c r="A1" s="436" t="s">
        <v>23</v>
      </c>
      <c r="B1" s="436"/>
      <c r="C1" s="436"/>
      <c r="D1" s="436"/>
      <c r="E1" s="436"/>
    </row>
    <row r="2" spans="1:5" ht="12">
      <c r="A2" s="109"/>
      <c r="B2" s="110"/>
      <c r="C2" s="109"/>
      <c r="D2" s="109"/>
      <c r="E2" s="109"/>
    </row>
    <row r="3" spans="1:5" s="111" customFormat="1" ht="13.5" customHeight="1">
      <c r="A3" s="437" t="s">
        <v>24</v>
      </c>
      <c r="B3" s="437" t="s">
        <v>25</v>
      </c>
      <c r="C3" s="437" t="s">
        <v>26</v>
      </c>
      <c r="D3" s="437" t="s">
        <v>27</v>
      </c>
      <c r="E3" s="437" t="s">
        <v>28</v>
      </c>
    </row>
    <row r="4" spans="1:5" s="111" customFormat="1" ht="12">
      <c r="A4" s="437"/>
      <c r="B4" s="437"/>
      <c r="C4" s="437"/>
      <c r="D4" s="437"/>
      <c r="E4" s="437"/>
    </row>
    <row r="5" spans="1:5" ht="12">
      <c r="A5" s="368" t="s">
        <v>29</v>
      </c>
      <c r="B5" s="376"/>
      <c r="C5" s="377"/>
      <c r="D5" s="377"/>
      <c r="E5" s="378"/>
    </row>
    <row r="6" spans="1:5" ht="12">
      <c r="A6" s="361" t="s">
        <v>30</v>
      </c>
      <c r="B6" s="367"/>
      <c r="C6" s="365"/>
      <c r="D6" s="365"/>
      <c r="E6" s="379"/>
    </row>
    <row r="7" spans="1:5" ht="12">
      <c r="A7" s="361" t="s">
        <v>31</v>
      </c>
      <c r="B7" s="357"/>
      <c r="C7" s="358"/>
      <c r="D7" s="358"/>
      <c r="E7" s="359">
        <f>SUM(E8:E23)</f>
        <v>34800</v>
      </c>
    </row>
    <row r="8" spans="1:5" ht="12">
      <c r="A8" s="130" t="s">
        <v>32</v>
      </c>
      <c r="B8" s="357">
        <v>1500</v>
      </c>
      <c r="C8" s="358">
        <v>1</v>
      </c>
      <c r="D8" s="358" t="s">
        <v>33</v>
      </c>
      <c r="E8" s="357">
        <f aca="true" t="shared" si="0" ref="E8:E23">B8*C8</f>
        <v>1500</v>
      </c>
    </row>
    <row r="9" spans="1:5" ht="12">
      <c r="A9" s="130" t="s">
        <v>341</v>
      </c>
      <c r="B9" s="357">
        <v>450</v>
      </c>
      <c r="C9" s="358">
        <v>1</v>
      </c>
      <c r="D9" s="358" t="s">
        <v>33</v>
      </c>
      <c r="E9" s="357">
        <f t="shared" si="0"/>
        <v>450</v>
      </c>
    </row>
    <row r="10" spans="1:5" ht="12">
      <c r="A10" s="130" t="s">
        <v>343</v>
      </c>
      <c r="B10" s="357">
        <v>20000</v>
      </c>
      <c r="C10" s="358">
        <v>1</v>
      </c>
      <c r="D10" s="358" t="s">
        <v>33</v>
      </c>
      <c r="E10" s="357">
        <f t="shared" si="0"/>
        <v>20000</v>
      </c>
    </row>
    <row r="11" spans="1:5" ht="12">
      <c r="A11" s="130" t="s">
        <v>342</v>
      </c>
      <c r="B11" s="357">
        <v>10000</v>
      </c>
      <c r="C11" s="358">
        <v>1</v>
      </c>
      <c r="D11" s="358" t="s">
        <v>33</v>
      </c>
      <c r="E11" s="357">
        <f t="shared" si="0"/>
        <v>10000</v>
      </c>
    </row>
    <row r="12" spans="1:5" ht="12">
      <c r="A12" s="130" t="s">
        <v>344</v>
      </c>
      <c r="B12" s="357">
        <v>450</v>
      </c>
      <c r="C12" s="358">
        <v>1</v>
      </c>
      <c r="D12" s="358" t="s">
        <v>33</v>
      </c>
      <c r="E12" s="357">
        <f t="shared" si="0"/>
        <v>450</v>
      </c>
    </row>
    <row r="13" spans="1:5" ht="12">
      <c r="A13" s="130" t="s">
        <v>345</v>
      </c>
      <c r="B13" s="357">
        <v>1500</v>
      </c>
      <c r="C13" s="358">
        <v>1</v>
      </c>
      <c r="D13" s="358" t="s">
        <v>33</v>
      </c>
      <c r="E13" s="357">
        <f t="shared" si="0"/>
        <v>1500</v>
      </c>
    </row>
    <row r="14" spans="1:5" ht="12">
      <c r="A14" s="130" t="s">
        <v>346</v>
      </c>
      <c r="B14" s="357">
        <v>14</v>
      </c>
      <c r="C14" s="358">
        <v>4</v>
      </c>
      <c r="D14" s="358" t="s">
        <v>354</v>
      </c>
      <c r="E14" s="357">
        <f t="shared" si="0"/>
        <v>56</v>
      </c>
    </row>
    <row r="15" spans="1:5" ht="12">
      <c r="A15" s="130" t="s">
        <v>347</v>
      </c>
      <c r="B15" s="357">
        <v>12</v>
      </c>
      <c r="C15" s="358">
        <v>4</v>
      </c>
      <c r="D15" s="358" t="s">
        <v>354</v>
      </c>
      <c r="E15" s="357">
        <f t="shared" si="0"/>
        <v>48</v>
      </c>
    </row>
    <row r="16" spans="1:5" ht="12">
      <c r="A16" s="130" t="s">
        <v>348</v>
      </c>
      <c r="B16" s="357">
        <v>8</v>
      </c>
      <c r="C16" s="358">
        <v>5</v>
      </c>
      <c r="D16" s="358" t="s">
        <v>353</v>
      </c>
      <c r="E16" s="357">
        <f t="shared" si="0"/>
        <v>40</v>
      </c>
    </row>
    <row r="17" spans="1:5" ht="12">
      <c r="A17" s="130" t="s">
        <v>349</v>
      </c>
      <c r="B17" s="357">
        <v>20</v>
      </c>
      <c r="C17" s="358">
        <v>5</v>
      </c>
      <c r="D17" s="358" t="s">
        <v>353</v>
      </c>
      <c r="E17" s="357">
        <f t="shared" si="0"/>
        <v>100</v>
      </c>
    </row>
    <row r="18" spans="1:5" ht="12">
      <c r="A18" s="130" t="s">
        <v>350</v>
      </c>
      <c r="B18" s="357">
        <v>14</v>
      </c>
      <c r="C18" s="358">
        <v>2</v>
      </c>
      <c r="D18" s="358" t="s">
        <v>354</v>
      </c>
      <c r="E18" s="357">
        <f t="shared" si="0"/>
        <v>28</v>
      </c>
    </row>
    <row r="19" spans="1:5" ht="12">
      <c r="A19" s="130" t="s">
        <v>351</v>
      </c>
      <c r="B19" s="357">
        <v>170</v>
      </c>
      <c r="C19" s="358">
        <v>2</v>
      </c>
      <c r="D19" s="358" t="s">
        <v>354</v>
      </c>
      <c r="E19" s="357">
        <f t="shared" si="0"/>
        <v>340</v>
      </c>
    </row>
    <row r="20" spans="1:5" ht="12">
      <c r="A20" s="130" t="s">
        <v>352</v>
      </c>
      <c r="B20" s="357">
        <v>220</v>
      </c>
      <c r="C20" s="358">
        <v>1</v>
      </c>
      <c r="D20" s="358" t="s">
        <v>354</v>
      </c>
      <c r="E20" s="357">
        <f t="shared" si="0"/>
        <v>220</v>
      </c>
    </row>
    <row r="21" spans="1:5" ht="12">
      <c r="A21" s="130" t="s">
        <v>355</v>
      </c>
      <c r="B21" s="357">
        <v>6</v>
      </c>
      <c r="C21" s="358">
        <v>3</v>
      </c>
      <c r="D21" s="358" t="s">
        <v>354</v>
      </c>
      <c r="E21" s="357">
        <f t="shared" si="0"/>
        <v>18</v>
      </c>
    </row>
    <row r="22" spans="1:5" ht="12">
      <c r="A22" s="130" t="s">
        <v>356</v>
      </c>
      <c r="B22" s="357">
        <v>2.5</v>
      </c>
      <c r="C22" s="358">
        <v>2</v>
      </c>
      <c r="D22" s="358" t="s">
        <v>354</v>
      </c>
      <c r="E22" s="357">
        <f t="shared" si="0"/>
        <v>5</v>
      </c>
    </row>
    <row r="23" spans="1:5" ht="12">
      <c r="A23" s="130" t="s">
        <v>357</v>
      </c>
      <c r="B23" s="357">
        <v>15</v>
      </c>
      <c r="C23" s="358">
        <v>3</v>
      </c>
      <c r="D23" s="358" t="s">
        <v>354</v>
      </c>
      <c r="E23" s="357">
        <f t="shared" si="0"/>
        <v>45</v>
      </c>
    </row>
    <row r="24" spans="1:5" ht="12">
      <c r="A24" s="361" t="s">
        <v>34</v>
      </c>
      <c r="B24" s="357"/>
      <c r="C24" s="358"/>
      <c r="D24" s="358"/>
      <c r="E24" s="359">
        <f>SUM(E25:E30)</f>
        <v>2870</v>
      </c>
    </row>
    <row r="25" spans="1:5" ht="12">
      <c r="A25" s="130" t="s">
        <v>35</v>
      </c>
      <c r="B25" s="357">
        <v>550</v>
      </c>
      <c r="C25" s="47">
        <v>1</v>
      </c>
      <c r="D25" s="358" t="s">
        <v>33</v>
      </c>
      <c r="E25" s="357">
        <f aca="true" t="shared" si="1" ref="E25:E30">B25*C25</f>
        <v>550</v>
      </c>
    </row>
    <row r="26" spans="1:5" ht="12">
      <c r="A26" s="130" t="s">
        <v>36</v>
      </c>
      <c r="B26" s="357">
        <v>150</v>
      </c>
      <c r="C26" s="47">
        <v>1</v>
      </c>
      <c r="D26" s="358" t="s">
        <v>33</v>
      </c>
      <c r="E26" s="357">
        <f t="shared" si="1"/>
        <v>150</v>
      </c>
    </row>
    <row r="27" spans="1:5" ht="12">
      <c r="A27" s="130" t="s">
        <v>339</v>
      </c>
      <c r="B27" s="357">
        <v>750</v>
      </c>
      <c r="C27" s="47">
        <v>1</v>
      </c>
      <c r="D27" s="358" t="s">
        <v>33</v>
      </c>
      <c r="E27" s="357">
        <f t="shared" si="1"/>
        <v>750</v>
      </c>
    </row>
    <row r="28" spans="1:5" ht="12">
      <c r="A28" s="130" t="s">
        <v>340</v>
      </c>
      <c r="B28" s="357">
        <v>1200</v>
      </c>
      <c r="C28" s="47">
        <v>1</v>
      </c>
      <c r="D28" s="358" t="s">
        <v>33</v>
      </c>
      <c r="E28" s="357">
        <f t="shared" si="1"/>
        <v>1200</v>
      </c>
    </row>
    <row r="29" spans="1:5" ht="12">
      <c r="A29" s="130" t="s">
        <v>447</v>
      </c>
      <c r="B29" s="357">
        <v>25</v>
      </c>
      <c r="C29" s="47">
        <v>2</v>
      </c>
      <c r="D29" s="358" t="s">
        <v>33</v>
      </c>
      <c r="E29" s="357">
        <f t="shared" si="1"/>
        <v>50</v>
      </c>
    </row>
    <row r="30" spans="1:5" ht="12">
      <c r="A30" s="130" t="s">
        <v>446</v>
      </c>
      <c r="B30" s="357">
        <v>170</v>
      </c>
      <c r="C30" s="47">
        <v>1</v>
      </c>
      <c r="D30" s="358" t="s">
        <v>33</v>
      </c>
      <c r="E30" s="357">
        <f t="shared" si="1"/>
        <v>170</v>
      </c>
    </row>
    <row r="31" spans="1:5" ht="12">
      <c r="A31" s="361" t="s">
        <v>37</v>
      </c>
      <c r="B31" s="360"/>
      <c r="C31" s="358"/>
      <c r="D31" s="358"/>
      <c r="E31" s="359">
        <f>SUM(E32:E34)</f>
        <v>300</v>
      </c>
    </row>
    <row r="32" spans="1:5" ht="12">
      <c r="A32" s="130" t="s">
        <v>38</v>
      </c>
      <c r="B32" s="113">
        <v>150</v>
      </c>
      <c r="C32" s="358">
        <v>1</v>
      </c>
      <c r="D32" s="358" t="s">
        <v>33</v>
      </c>
      <c r="E32" s="357">
        <f>B32*C32</f>
        <v>150</v>
      </c>
    </row>
    <row r="33" spans="1:5" ht="12">
      <c r="A33" s="130" t="s">
        <v>39</v>
      </c>
      <c r="B33" s="113">
        <v>50</v>
      </c>
      <c r="C33" s="358">
        <v>1</v>
      </c>
      <c r="D33" s="358" t="s">
        <v>33</v>
      </c>
      <c r="E33" s="357">
        <f>B33*C33</f>
        <v>50</v>
      </c>
    </row>
    <row r="34" spans="1:5" ht="12">
      <c r="A34" s="130" t="s">
        <v>464</v>
      </c>
      <c r="B34" s="113">
        <v>25</v>
      </c>
      <c r="C34" s="358">
        <v>4</v>
      </c>
      <c r="D34" s="358" t="s">
        <v>33</v>
      </c>
      <c r="E34" s="357">
        <f>B34*C34</f>
        <v>100</v>
      </c>
    </row>
    <row r="35" spans="1:5" ht="12">
      <c r="A35" s="361" t="s">
        <v>40</v>
      </c>
      <c r="B35" s="362"/>
      <c r="C35" s="358"/>
      <c r="D35" s="358"/>
      <c r="E35" s="359">
        <f>E24+E31+E7</f>
        <v>37970</v>
      </c>
    </row>
    <row r="36" spans="1:5" ht="12">
      <c r="A36" s="361"/>
      <c r="B36" s="362"/>
      <c r="C36" s="358"/>
      <c r="D36" s="358"/>
      <c r="E36" s="363"/>
    </row>
    <row r="37" spans="1:5" ht="12">
      <c r="A37" s="361" t="s">
        <v>41</v>
      </c>
      <c r="B37" s="362"/>
      <c r="C37" s="358"/>
      <c r="D37" s="358"/>
      <c r="E37" s="358"/>
    </row>
    <row r="38" spans="1:5" ht="12">
      <c r="A38" s="181" t="s">
        <v>42</v>
      </c>
      <c r="B38" s="357">
        <v>180</v>
      </c>
      <c r="C38" s="358">
        <v>1</v>
      </c>
      <c r="D38" s="358" t="s">
        <v>43</v>
      </c>
      <c r="E38" s="357">
        <f>B38*C38</f>
        <v>180</v>
      </c>
    </row>
    <row r="39" spans="1:5" ht="12">
      <c r="A39" s="181" t="s">
        <v>44</v>
      </c>
      <c r="B39" s="357">
        <v>150</v>
      </c>
      <c r="C39" s="358">
        <v>1</v>
      </c>
      <c r="D39" s="358" t="s">
        <v>43</v>
      </c>
      <c r="E39" s="357">
        <f>B39*C39</f>
        <v>150</v>
      </c>
    </row>
    <row r="40" spans="1:5" ht="12">
      <c r="A40" s="181" t="s">
        <v>448</v>
      </c>
      <c r="B40" s="357">
        <v>500</v>
      </c>
      <c r="C40" s="358">
        <v>1</v>
      </c>
      <c r="D40" s="358" t="s">
        <v>43</v>
      </c>
      <c r="E40" s="357">
        <f>B40*C40</f>
        <v>500</v>
      </c>
    </row>
    <row r="41" spans="1:5" ht="24">
      <c r="A41" s="181" t="s">
        <v>449</v>
      </c>
      <c r="B41" s="357">
        <v>550</v>
      </c>
      <c r="C41" s="358">
        <v>1</v>
      </c>
      <c r="D41" s="358" t="s">
        <v>43</v>
      </c>
      <c r="E41" s="357">
        <f>B41*C41</f>
        <v>550</v>
      </c>
    </row>
    <row r="42" spans="1:5" ht="12">
      <c r="A42" s="181" t="s">
        <v>45</v>
      </c>
      <c r="B42" s="357">
        <v>200</v>
      </c>
      <c r="C42" s="358">
        <v>1</v>
      </c>
      <c r="D42" s="358" t="s">
        <v>43</v>
      </c>
      <c r="E42" s="357">
        <f>B42*C42</f>
        <v>200</v>
      </c>
    </row>
    <row r="43" spans="1:5" ht="12">
      <c r="A43" s="361" t="s">
        <v>46</v>
      </c>
      <c r="B43" s="362"/>
      <c r="C43" s="358"/>
      <c r="D43" s="358"/>
      <c r="E43" s="363">
        <f>SUM(E38:E42)</f>
        <v>1580</v>
      </c>
    </row>
    <row r="44" spans="1:5" ht="12">
      <c r="A44" s="368" t="s">
        <v>47</v>
      </c>
      <c r="B44" s="369"/>
      <c r="C44" s="370"/>
      <c r="D44" s="370"/>
      <c r="E44" s="372">
        <f>E43+E35</f>
        <v>39550</v>
      </c>
    </row>
    <row r="45" spans="1:5" ht="12">
      <c r="A45" s="361"/>
      <c r="B45" s="362"/>
      <c r="C45" s="358"/>
      <c r="D45" s="358"/>
      <c r="E45" s="363"/>
    </row>
    <row r="46" spans="1:5" ht="15" customHeight="1">
      <c r="A46" s="368" t="s">
        <v>48</v>
      </c>
      <c r="B46" s="369"/>
      <c r="C46" s="370"/>
      <c r="D46" s="370"/>
      <c r="E46" s="371"/>
    </row>
    <row r="47" spans="1:5" ht="12">
      <c r="A47" s="381" t="s">
        <v>450</v>
      </c>
      <c r="B47" s="363" t="s">
        <v>25</v>
      </c>
      <c r="C47" s="365" t="s">
        <v>117</v>
      </c>
      <c r="D47" s="365" t="s">
        <v>452</v>
      </c>
      <c r="E47" s="359">
        <f>SUM(E48:E49)</f>
        <v>19183.333333333332</v>
      </c>
    </row>
    <row r="48" spans="1:5" ht="12">
      <c r="A48" s="382" t="s">
        <v>451</v>
      </c>
      <c r="B48" s="357">
        <f>AVERAGE('ELAB DE PRECIO'!B120:B122)</f>
        <v>151.66666666666666</v>
      </c>
      <c r="C48" s="358">
        <v>110</v>
      </c>
      <c r="D48" s="358" t="s">
        <v>453</v>
      </c>
      <c r="E48" s="357">
        <f>B48*C48</f>
        <v>16683.333333333332</v>
      </c>
    </row>
    <row r="49" spans="1:5" ht="12">
      <c r="A49" s="382" t="s">
        <v>454</v>
      </c>
      <c r="B49" s="357">
        <f>+'ELAB DE PRECIO'!B123</f>
        <v>2500</v>
      </c>
      <c r="C49" s="358">
        <v>1</v>
      </c>
      <c r="D49" s="358" t="s">
        <v>456</v>
      </c>
      <c r="E49" s="357">
        <f>B49*C49</f>
        <v>2500</v>
      </c>
    </row>
    <row r="50" spans="1:5" ht="12">
      <c r="A50" s="381" t="s">
        <v>283</v>
      </c>
      <c r="B50" s="366"/>
      <c r="C50" s="358"/>
      <c r="D50" s="358"/>
      <c r="E50" s="359">
        <f>'PLANILLA DE EMPLEADOS'!J20</f>
        <v>5886</v>
      </c>
    </row>
    <row r="51" spans="1:5" ht="12">
      <c r="A51" s="381" t="s">
        <v>14</v>
      </c>
      <c r="B51" s="366"/>
      <c r="C51" s="358"/>
      <c r="D51" s="358"/>
      <c r="E51" s="359">
        <f>'GASTOS INDIRECTOS'!E17</f>
        <v>2215</v>
      </c>
    </row>
    <row r="52" spans="1:5" ht="12">
      <c r="A52" s="373" t="s">
        <v>50</v>
      </c>
      <c r="B52" s="374"/>
      <c r="C52" s="373"/>
      <c r="D52" s="373"/>
      <c r="E52" s="375">
        <f>+E47+E50+E51</f>
        <v>27284.333333333332</v>
      </c>
    </row>
    <row r="53" spans="1:5" ht="12">
      <c r="A53" s="296" t="s">
        <v>51</v>
      </c>
      <c r="B53" s="50"/>
      <c r="C53" s="295"/>
      <c r="D53" s="295"/>
      <c r="E53" s="17">
        <f>E52+E44</f>
        <v>66834.33333333333</v>
      </c>
    </row>
    <row r="54" ht="12">
      <c r="A54" s="108" t="s">
        <v>52</v>
      </c>
    </row>
    <row r="55" spans="1:2" ht="12">
      <c r="A55" s="115"/>
      <c r="B55" s="116"/>
    </row>
    <row r="56" spans="1:2" ht="12">
      <c r="A56" s="115"/>
      <c r="B56" s="116"/>
    </row>
    <row r="57" spans="1:2" ht="12">
      <c r="A57" s="115"/>
      <c r="B57" s="116"/>
    </row>
    <row r="58" spans="1:2" ht="12">
      <c r="A58" s="115"/>
      <c r="B58" s="116"/>
    </row>
    <row r="59" spans="1:2" ht="12">
      <c r="A59" s="115"/>
      <c r="B59" s="116"/>
    </row>
    <row r="60" spans="1:2" ht="12">
      <c r="A60" s="115"/>
      <c r="B60" s="116"/>
    </row>
    <row r="61" spans="1:2" ht="12">
      <c r="A61" s="115"/>
      <c r="B61" s="116"/>
    </row>
    <row r="62" spans="1:2" ht="12">
      <c r="A62" s="115"/>
      <c r="B62" s="116"/>
    </row>
    <row r="63" spans="1:2" ht="12">
      <c r="A63" s="115"/>
      <c r="B63" s="116"/>
    </row>
    <row r="64" spans="1:2" ht="12">
      <c r="A64" s="115"/>
      <c r="B64" s="116"/>
    </row>
    <row r="65" spans="1:2" ht="12">
      <c r="A65" s="115"/>
      <c r="B65" s="116"/>
    </row>
    <row r="66" spans="1:5" ht="12">
      <c r="A66" s="117"/>
      <c r="C66" s="118"/>
      <c r="D66" s="118"/>
      <c r="E66" s="118"/>
    </row>
    <row r="67" ht="12">
      <c r="A67" s="115"/>
    </row>
    <row r="68" spans="1:5" ht="12" customHeight="1" hidden="1">
      <c r="A68" s="437" t="s">
        <v>24</v>
      </c>
      <c r="B68" s="437" t="s">
        <v>25</v>
      </c>
      <c r="C68" s="437" t="s">
        <v>26</v>
      </c>
      <c r="D68" s="437" t="s">
        <v>27</v>
      </c>
      <c r="E68" s="437" t="s">
        <v>28</v>
      </c>
    </row>
    <row r="69" spans="1:5" ht="12" customHeight="1" hidden="1">
      <c r="A69" s="437"/>
      <c r="B69" s="437"/>
      <c r="C69" s="437"/>
      <c r="D69" s="437"/>
      <c r="E69" s="437"/>
    </row>
    <row r="70" spans="1:5" ht="12" customHeight="1" hidden="1">
      <c r="A70" s="368" t="s">
        <v>29</v>
      </c>
      <c r="B70" s="376"/>
      <c r="C70" s="377"/>
      <c r="D70" s="377"/>
      <c r="E70" s="378"/>
    </row>
    <row r="71" spans="1:5" ht="12" customHeight="1" hidden="1">
      <c r="A71" s="361" t="s">
        <v>30</v>
      </c>
      <c r="B71" s="367"/>
      <c r="C71" s="365"/>
      <c r="D71" s="365"/>
      <c r="E71" s="379"/>
    </row>
    <row r="72" spans="1:5" ht="12" customHeight="1" hidden="1">
      <c r="A72" s="356" t="s">
        <v>31</v>
      </c>
      <c r="B72" s="357"/>
      <c r="C72" s="358"/>
      <c r="D72" s="358"/>
      <c r="E72" s="359">
        <f>SUM(E73:E88)</f>
        <v>34800</v>
      </c>
    </row>
    <row r="73" spans="1:5" ht="12" customHeight="1" hidden="1">
      <c r="A73" s="274" t="s">
        <v>32</v>
      </c>
      <c r="B73" s="357">
        <f>+B8</f>
        <v>1500</v>
      </c>
      <c r="C73" s="358">
        <f>+C8</f>
        <v>1</v>
      </c>
      <c r="D73" s="358" t="s">
        <v>33</v>
      </c>
      <c r="E73" s="357">
        <f aca="true" t="shared" si="2" ref="E73:E88">B73*C73</f>
        <v>1500</v>
      </c>
    </row>
    <row r="74" spans="1:5" ht="12" customHeight="1" hidden="1">
      <c r="A74" s="274" t="s">
        <v>341</v>
      </c>
      <c r="B74" s="357">
        <f aca="true" t="shared" si="3" ref="B74:B107">+B9</f>
        <v>450</v>
      </c>
      <c r="C74" s="358">
        <f aca="true" t="shared" si="4" ref="C74:C107">+C9</f>
        <v>1</v>
      </c>
      <c r="D74" s="358" t="s">
        <v>33</v>
      </c>
      <c r="E74" s="357">
        <f t="shared" si="2"/>
        <v>450</v>
      </c>
    </row>
    <row r="75" spans="1:5" ht="12" customHeight="1" hidden="1">
      <c r="A75" s="274" t="s">
        <v>343</v>
      </c>
      <c r="B75" s="357">
        <f t="shared" si="3"/>
        <v>20000</v>
      </c>
      <c r="C75" s="358">
        <f t="shared" si="4"/>
        <v>1</v>
      </c>
      <c r="D75" s="358" t="s">
        <v>33</v>
      </c>
      <c r="E75" s="357">
        <f t="shared" si="2"/>
        <v>20000</v>
      </c>
    </row>
    <row r="76" spans="1:5" ht="12" customHeight="1" hidden="1">
      <c r="A76" s="274" t="s">
        <v>342</v>
      </c>
      <c r="B76" s="357">
        <f t="shared" si="3"/>
        <v>10000</v>
      </c>
      <c r="C76" s="358">
        <f t="shared" si="4"/>
        <v>1</v>
      </c>
      <c r="D76" s="358" t="s">
        <v>33</v>
      </c>
      <c r="E76" s="357">
        <f t="shared" si="2"/>
        <v>10000</v>
      </c>
    </row>
    <row r="77" spans="1:5" ht="12" customHeight="1" hidden="1">
      <c r="A77" s="274" t="s">
        <v>344</v>
      </c>
      <c r="B77" s="357">
        <f t="shared" si="3"/>
        <v>450</v>
      </c>
      <c r="C77" s="358">
        <f t="shared" si="4"/>
        <v>1</v>
      </c>
      <c r="D77" s="358" t="s">
        <v>33</v>
      </c>
      <c r="E77" s="357">
        <f t="shared" si="2"/>
        <v>450</v>
      </c>
    </row>
    <row r="78" spans="1:5" ht="12" customHeight="1" hidden="1">
      <c r="A78" s="274" t="s">
        <v>345</v>
      </c>
      <c r="B78" s="357">
        <f t="shared" si="3"/>
        <v>1500</v>
      </c>
      <c r="C78" s="358">
        <f t="shared" si="4"/>
        <v>1</v>
      </c>
      <c r="D78" s="358" t="s">
        <v>33</v>
      </c>
      <c r="E78" s="357">
        <f t="shared" si="2"/>
        <v>1500</v>
      </c>
    </row>
    <row r="79" spans="1:5" ht="12" customHeight="1" hidden="1">
      <c r="A79" s="274" t="s">
        <v>346</v>
      </c>
      <c r="B79" s="357">
        <f t="shared" si="3"/>
        <v>14</v>
      </c>
      <c r="C79" s="358">
        <f t="shared" si="4"/>
        <v>4</v>
      </c>
      <c r="D79" s="358" t="s">
        <v>354</v>
      </c>
      <c r="E79" s="357">
        <f t="shared" si="2"/>
        <v>56</v>
      </c>
    </row>
    <row r="80" spans="1:5" ht="12" customHeight="1" hidden="1">
      <c r="A80" s="274" t="s">
        <v>347</v>
      </c>
      <c r="B80" s="357">
        <f t="shared" si="3"/>
        <v>12</v>
      </c>
      <c r="C80" s="358">
        <f t="shared" si="4"/>
        <v>4</v>
      </c>
      <c r="D80" s="358" t="s">
        <v>354</v>
      </c>
      <c r="E80" s="357">
        <f t="shared" si="2"/>
        <v>48</v>
      </c>
    </row>
    <row r="81" spans="1:5" ht="12" customHeight="1" hidden="1">
      <c r="A81" s="274" t="s">
        <v>348</v>
      </c>
      <c r="B81" s="357">
        <f t="shared" si="3"/>
        <v>8</v>
      </c>
      <c r="C81" s="358">
        <f t="shared" si="4"/>
        <v>5</v>
      </c>
      <c r="D81" s="358" t="s">
        <v>353</v>
      </c>
      <c r="E81" s="357">
        <f t="shared" si="2"/>
        <v>40</v>
      </c>
    </row>
    <row r="82" spans="1:5" ht="12" customHeight="1" hidden="1">
      <c r="A82" s="274" t="s">
        <v>349</v>
      </c>
      <c r="B82" s="357">
        <f t="shared" si="3"/>
        <v>20</v>
      </c>
      <c r="C82" s="358">
        <f t="shared" si="4"/>
        <v>5</v>
      </c>
      <c r="D82" s="358" t="s">
        <v>353</v>
      </c>
      <c r="E82" s="357">
        <f t="shared" si="2"/>
        <v>100</v>
      </c>
    </row>
    <row r="83" spans="1:5" ht="12" customHeight="1" hidden="1">
      <c r="A83" s="274" t="s">
        <v>350</v>
      </c>
      <c r="B83" s="357">
        <f t="shared" si="3"/>
        <v>14</v>
      </c>
      <c r="C83" s="358">
        <f t="shared" si="4"/>
        <v>2</v>
      </c>
      <c r="D83" s="358" t="s">
        <v>354</v>
      </c>
      <c r="E83" s="357">
        <f t="shared" si="2"/>
        <v>28</v>
      </c>
    </row>
    <row r="84" spans="1:5" ht="12" customHeight="1" hidden="1">
      <c r="A84" s="274" t="s">
        <v>351</v>
      </c>
      <c r="B84" s="357">
        <f t="shared" si="3"/>
        <v>170</v>
      </c>
      <c r="C84" s="358">
        <f t="shared" si="4"/>
        <v>2</v>
      </c>
      <c r="D84" s="358" t="s">
        <v>354</v>
      </c>
      <c r="E84" s="357">
        <f t="shared" si="2"/>
        <v>340</v>
      </c>
    </row>
    <row r="85" spans="1:5" ht="12" customHeight="1" hidden="1">
      <c r="A85" s="274" t="s">
        <v>352</v>
      </c>
      <c r="B85" s="357">
        <f t="shared" si="3"/>
        <v>220</v>
      </c>
      <c r="C85" s="358">
        <f t="shared" si="4"/>
        <v>1</v>
      </c>
      <c r="D85" s="358" t="s">
        <v>354</v>
      </c>
      <c r="E85" s="357">
        <f t="shared" si="2"/>
        <v>220</v>
      </c>
    </row>
    <row r="86" spans="1:5" ht="12" customHeight="1" hidden="1">
      <c r="A86" s="274" t="s">
        <v>355</v>
      </c>
      <c r="B86" s="357">
        <f t="shared" si="3"/>
        <v>6</v>
      </c>
      <c r="C86" s="358">
        <f t="shared" si="4"/>
        <v>3</v>
      </c>
      <c r="D86" s="358" t="s">
        <v>354</v>
      </c>
      <c r="E86" s="357">
        <f t="shared" si="2"/>
        <v>18</v>
      </c>
    </row>
    <row r="87" spans="1:5" ht="12" customHeight="1" hidden="1">
      <c r="A87" s="274" t="s">
        <v>356</v>
      </c>
      <c r="B87" s="357">
        <f t="shared" si="3"/>
        <v>2.5</v>
      </c>
      <c r="C87" s="358">
        <f t="shared" si="4"/>
        <v>2</v>
      </c>
      <c r="D87" s="358" t="s">
        <v>354</v>
      </c>
      <c r="E87" s="357">
        <f t="shared" si="2"/>
        <v>5</v>
      </c>
    </row>
    <row r="88" spans="1:5" ht="12" customHeight="1" hidden="1">
      <c r="A88" s="274" t="s">
        <v>357</v>
      </c>
      <c r="B88" s="357">
        <f t="shared" si="3"/>
        <v>15</v>
      </c>
      <c r="C88" s="358">
        <f t="shared" si="4"/>
        <v>3</v>
      </c>
      <c r="D88" s="358" t="s">
        <v>354</v>
      </c>
      <c r="E88" s="357">
        <f t="shared" si="2"/>
        <v>45</v>
      </c>
    </row>
    <row r="89" spans="1:5" ht="12" customHeight="1" hidden="1">
      <c r="A89" s="356" t="s">
        <v>34</v>
      </c>
      <c r="B89" s="357">
        <f t="shared" si="3"/>
        <v>0</v>
      </c>
      <c r="C89" s="358">
        <f t="shared" si="4"/>
        <v>0</v>
      </c>
      <c r="D89" s="358"/>
      <c r="E89" s="359">
        <f>SUM(E90:E95)</f>
        <v>2870</v>
      </c>
    </row>
    <row r="90" spans="1:5" ht="12" customHeight="1" hidden="1">
      <c r="A90" s="274" t="s">
        <v>35</v>
      </c>
      <c r="B90" s="357">
        <f t="shared" si="3"/>
        <v>550</v>
      </c>
      <c r="C90" s="358">
        <f t="shared" si="4"/>
        <v>1</v>
      </c>
      <c r="D90" s="358" t="s">
        <v>33</v>
      </c>
      <c r="E90" s="357">
        <f aca="true" t="shared" si="5" ref="E90:E95">B90*C90</f>
        <v>550</v>
      </c>
    </row>
    <row r="91" spans="1:5" ht="12" customHeight="1" hidden="1">
      <c r="A91" s="274" t="s">
        <v>36</v>
      </c>
      <c r="B91" s="357">
        <f t="shared" si="3"/>
        <v>150</v>
      </c>
      <c r="C91" s="358">
        <f t="shared" si="4"/>
        <v>1</v>
      </c>
      <c r="D91" s="358" t="s">
        <v>33</v>
      </c>
      <c r="E91" s="357">
        <f t="shared" si="5"/>
        <v>150</v>
      </c>
    </row>
    <row r="92" spans="1:5" ht="12" customHeight="1" hidden="1">
      <c r="A92" s="274" t="s">
        <v>339</v>
      </c>
      <c r="B92" s="357">
        <f t="shared" si="3"/>
        <v>750</v>
      </c>
      <c r="C92" s="358">
        <f t="shared" si="4"/>
        <v>1</v>
      </c>
      <c r="D92" s="358" t="s">
        <v>33</v>
      </c>
      <c r="E92" s="357">
        <f t="shared" si="5"/>
        <v>750</v>
      </c>
    </row>
    <row r="93" spans="1:5" ht="12" customHeight="1" hidden="1">
      <c r="A93" s="274" t="s">
        <v>340</v>
      </c>
      <c r="B93" s="357">
        <f t="shared" si="3"/>
        <v>1200</v>
      </c>
      <c r="C93" s="358">
        <f t="shared" si="4"/>
        <v>1</v>
      </c>
      <c r="D93" s="358" t="s">
        <v>33</v>
      </c>
      <c r="E93" s="357">
        <f t="shared" si="5"/>
        <v>1200</v>
      </c>
    </row>
    <row r="94" spans="1:5" ht="12" customHeight="1" hidden="1">
      <c r="A94" s="274" t="s">
        <v>447</v>
      </c>
      <c r="B94" s="357">
        <f t="shared" si="3"/>
        <v>25</v>
      </c>
      <c r="C94" s="358">
        <f t="shared" si="4"/>
        <v>2</v>
      </c>
      <c r="D94" s="358" t="s">
        <v>33</v>
      </c>
      <c r="E94" s="357">
        <f t="shared" si="5"/>
        <v>50</v>
      </c>
    </row>
    <row r="95" spans="1:5" ht="12" customHeight="1" hidden="1">
      <c r="A95" s="274" t="s">
        <v>446</v>
      </c>
      <c r="B95" s="357">
        <f t="shared" si="3"/>
        <v>170</v>
      </c>
      <c r="C95" s="358">
        <f t="shared" si="4"/>
        <v>1</v>
      </c>
      <c r="D95" s="358" t="s">
        <v>33</v>
      </c>
      <c r="E95" s="357">
        <f t="shared" si="5"/>
        <v>170</v>
      </c>
    </row>
    <row r="96" spans="1:5" ht="12" customHeight="1" hidden="1">
      <c r="A96" s="356" t="s">
        <v>37</v>
      </c>
      <c r="B96" s="357">
        <f t="shared" si="3"/>
        <v>0</v>
      </c>
      <c r="C96" s="358">
        <f t="shared" si="4"/>
        <v>0</v>
      </c>
      <c r="D96" s="358"/>
      <c r="E96" s="359">
        <f>SUM(E97:E99)</f>
        <v>300</v>
      </c>
    </row>
    <row r="97" spans="1:5" ht="12" customHeight="1" hidden="1">
      <c r="A97" s="130" t="s">
        <v>38</v>
      </c>
      <c r="B97" s="357">
        <f t="shared" si="3"/>
        <v>150</v>
      </c>
      <c r="C97" s="358">
        <f t="shared" si="4"/>
        <v>1</v>
      </c>
      <c r="D97" s="358" t="s">
        <v>33</v>
      </c>
      <c r="E97" s="357">
        <f>B97*C97</f>
        <v>150</v>
      </c>
    </row>
    <row r="98" spans="1:5" ht="12" customHeight="1" hidden="1">
      <c r="A98" s="130" t="s">
        <v>39</v>
      </c>
      <c r="B98" s="357">
        <f t="shared" si="3"/>
        <v>50</v>
      </c>
      <c r="C98" s="358">
        <f t="shared" si="4"/>
        <v>1</v>
      </c>
      <c r="D98" s="358" t="s">
        <v>33</v>
      </c>
      <c r="E98" s="357">
        <f>B98*C98</f>
        <v>50</v>
      </c>
    </row>
    <row r="99" spans="1:5" ht="12" customHeight="1" hidden="1">
      <c r="A99" s="130" t="s">
        <v>464</v>
      </c>
      <c r="B99" s="357">
        <f t="shared" si="3"/>
        <v>25</v>
      </c>
      <c r="C99" s="358">
        <f t="shared" si="4"/>
        <v>4</v>
      </c>
      <c r="D99" s="358" t="s">
        <v>33</v>
      </c>
      <c r="E99" s="357">
        <f>B99*C99</f>
        <v>100</v>
      </c>
    </row>
    <row r="100" spans="1:5" ht="12" customHeight="1" hidden="1">
      <c r="A100" s="361" t="s">
        <v>40</v>
      </c>
      <c r="B100" s="357">
        <f t="shared" si="3"/>
        <v>0</v>
      </c>
      <c r="C100" s="358">
        <f t="shared" si="4"/>
        <v>0</v>
      </c>
      <c r="D100" s="358"/>
      <c r="E100" s="359">
        <f>E89+E96+E72</f>
        <v>37970</v>
      </c>
    </row>
    <row r="101" spans="1:5" ht="12" customHeight="1" hidden="1">
      <c r="A101" s="361"/>
      <c r="B101" s="357">
        <f t="shared" si="3"/>
        <v>0</v>
      </c>
      <c r="C101" s="358">
        <f t="shared" si="4"/>
        <v>0</v>
      </c>
      <c r="D101" s="358"/>
      <c r="E101" s="363"/>
    </row>
    <row r="102" spans="1:5" ht="12" customHeight="1" hidden="1">
      <c r="A102" s="361" t="s">
        <v>41</v>
      </c>
      <c r="B102" s="357">
        <f t="shared" si="3"/>
        <v>0</v>
      </c>
      <c r="C102" s="358">
        <f t="shared" si="4"/>
        <v>0</v>
      </c>
      <c r="D102" s="358"/>
      <c r="E102" s="358"/>
    </row>
    <row r="103" spans="1:5" ht="12" customHeight="1" hidden="1">
      <c r="A103" s="181" t="s">
        <v>42</v>
      </c>
      <c r="B103" s="357">
        <f t="shared" si="3"/>
        <v>180</v>
      </c>
      <c r="C103" s="358">
        <f t="shared" si="4"/>
        <v>1</v>
      </c>
      <c r="D103" s="358" t="s">
        <v>43</v>
      </c>
      <c r="E103" s="357">
        <f>B103*C103</f>
        <v>180</v>
      </c>
    </row>
    <row r="104" spans="1:5" ht="12" customHeight="1" hidden="1">
      <c r="A104" s="181" t="s">
        <v>44</v>
      </c>
      <c r="B104" s="357">
        <f t="shared" si="3"/>
        <v>150</v>
      </c>
      <c r="C104" s="358">
        <f t="shared" si="4"/>
        <v>1</v>
      </c>
      <c r="D104" s="358" t="s">
        <v>43</v>
      </c>
      <c r="E104" s="357">
        <f>B104*C104</f>
        <v>150</v>
      </c>
    </row>
    <row r="105" spans="1:5" ht="12" customHeight="1" hidden="1">
      <c r="A105" s="181" t="s">
        <v>448</v>
      </c>
      <c r="B105" s="357">
        <f t="shared" si="3"/>
        <v>500</v>
      </c>
      <c r="C105" s="358">
        <f t="shared" si="4"/>
        <v>1</v>
      </c>
      <c r="D105" s="358" t="s">
        <v>43</v>
      </c>
      <c r="E105" s="357">
        <f>B105*C105</f>
        <v>500</v>
      </c>
    </row>
    <row r="106" spans="1:5" ht="12" customHeight="1" hidden="1">
      <c r="A106" s="181" t="s">
        <v>449</v>
      </c>
      <c r="B106" s="357">
        <f t="shared" si="3"/>
        <v>550</v>
      </c>
      <c r="C106" s="358">
        <f t="shared" si="4"/>
        <v>1</v>
      </c>
      <c r="D106" s="358" t="s">
        <v>43</v>
      </c>
      <c r="E106" s="357">
        <f>B106*C106</f>
        <v>550</v>
      </c>
    </row>
    <row r="107" spans="1:5" ht="12" customHeight="1" hidden="1">
      <c r="A107" s="181" t="s">
        <v>45</v>
      </c>
      <c r="B107" s="357">
        <f t="shared" si="3"/>
        <v>200</v>
      </c>
      <c r="C107" s="358">
        <f t="shared" si="4"/>
        <v>1</v>
      </c>
      <c r="D107" s="358" t="s">
        <v>43</v>
      </c>
      <c r="E107" s="357">
        <f>B107*C107</f>
        <v>200</v>
      </c>
    </row>
    <row r="108" spans="1:5" ht="12" customHeight="1" hidden="1">
      <c r="A108" s="361" t="s">
        <v>46</v>
      </c>
      <c r="B108" s="362"/>
      <c r="C108" s="358"/>
      <c r="D108" s="358"/>
      <c r="E108" s="363">
        <f>SUM(E103:E107)</f>
        <v>1580</v>
      </c>
    </row>
    <row r="109" spans="1:5" ht="12" customHeight="1" hidden="1">
      <c r="A109" s="368" t="s">
        <v>47</v>
      </c>
      <c r="B109" s="369"/>
      <c r="C109" s="370"/>
      <c r="D109" s="370"/>
      <c r="E109" s="372">
        <f>E108+E100</f>
        <v>39550</v>
      </c>
    </row>
    <row r="110" spans="1:5" ht="12" customHeight="1" hidden="1">
      <c r="A110" s="361"/>
      <c r="B110" s="362"/>
      <c r="C110" s="358"/>
      <c r="D110" s="358"/>
      <c r="E110" s="363"/>
    </row>
    <row r="111" spans="1:5" ht="12" customHeight="1" hidden="1">
      <c r="A111" s="368" t="s">
        <v>48</v>
      </c>
      <c r="B111" s="369"/>
      <c r="C111" s="370"/>
      <c r="D111" s="370"/>
      <c r="E111" s="371"/>
    </row>
    <row r="112" spans="1:5" ht="12" customHeight="1" hidden="1">
      <c r="A112" s="364" t="s">
        <v>450</v>
      </c>
      <c r="B112" s="363" t="s">
        <v>25</v>
      </c>
      <c r="C112" s="365" t="s">
        <v>117</v>
      </c>
      <c r="D112" s="365" t="s">
        <v>452</v>
      </c>
      <c r="E112" s="359">
        <f>SUM(E113:E114)</f>
        <v>19183.333333333332</v>
      </c>
    </row>
    <row r="113" spans="1:5" ht="12" customHeight="1" hidden="1">
      <c r="A113" s="380" t="s">
        <v>451</v>
      </c>
      <c r="B113" s="357">
        <f>+B48</f>
        <v>151.66666666666666</v>
      </c>
      <c r="C113" s="357">
        <f>+C48</f>
        <v>110</v>
      </c>
      <c r="D113" s="358" t="s">
        <v>453</v>
      </c>
      <c r="E113" s="357">
        <f>B113*C113</f>
        <v>16683.333333333332</v>
      </c>
    </row>
    <row r="114" spans="1:5" ht="12" customHeight="1" hidden="1">
      <c r="A114" s="380" t="s">
        <v>454</v>
      </c>
      <c r="B114" s="357">
        <f>+B49</f>
        <v>2500</v>
      </c>
      <c r="C114" s="357">
        <f>+C49</f>
        <v>1</v>
      </c>
      <c r="D114" s="358" t="s">
        <v>456</v>
      </c>
      <c r="E114" s="357">
        <f>B114*C114</f>
        <v>2500</v>
      </c>
    </row>
    <row r="115" spans="1:5" ht="12" customHeight="1" hidden="1">
      <c r="A115" s="364" t="s">
        <v>283</v>
      </c>
      <c r="B115" s="366"/>
      <c r="C115" s="358"/>
      <c r="D115" s="358"/>
      <c r="E115" s="359">
        <f>'PLANILLA DE EMPLEADOS'!J20</f>
        <v>5886</v>
      </c>
    </row>
    <row r="116" spans="1:5" ht="12" customHeight="1" hidden="1">
      <c r="A116" s="364" t="s">
        <v>14</v>
      </c>
      <c r="B116" s="366"/>
      <c r="C116" s="358"/>
      <c r="D116" s="358"/>
      <c r="E116" s="359">
        <f>'GASTOS INDIRECTOS'!E17</f>
        <v>2215</v>
      </c>
    </row>
    <row r="117" spans="1:5" ht="12" customHeight="1" hidden="1">
      <c r="A117" s="373" t="s">
        <v>50</v>
      </c>
      <c r="B117" s="374"/>
      <c r="C117" s="373"/>
      <c r="D117" s="373"/>
      <c r="E117" s="375">
        <f>+E112+E115+E116</f>
        <v>27284.333333333332</v>
      </c>
    </row>
    <row r="118" spans="1:5" ht="12" customHeight="1" hidden="1">
      <c r="A118" s="296" t="s">
        <v>51</v>
      </c>
      <c r="B118" s="50"/>
      <c r="C118" s="295"/>
      <c r="D118" s="295"/>
      <c r="E118" s="17">
        <f>E117+E109</f>
        <v>66834.33333333333</v>
      </c>
    </row>
    <row r="119" ht="12" customHeight="1" hidden="1">
      <c r="A119" s="108" t="s">
        <v>52</v>
      </c>
    </row>
  </sheetData>
  <sheetProtection/>
  <mergeCells count="11">
    <mergeCell ref="A68:A69"/>
    <mergeCell ref="B68:B69"/>
    <mergeCell ref="C68:C69"/>
    <mergeCell ref="D68:D69"/>
    <mergeCell ref="E68:E69"/>
    <mergeCell ref="A1:E1"/>
    <mergeCell ref="A3:A4"/>
    <mergeCell ref="B3:B4"/>
    <mergeCell ref="C3:C4"/>
    <mergeCell ref="D3:D4"/>
    <mergeCell ref="E3:E4"/>
  </mergeCells>
  <printOptions/>
  <pageMargins left="0.38" right="0.49" top="0.43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27"/>
  <sheetViews>
    <sheetView zoomScale="120" zoomScaleNormal="120" zoomScalePageLayoutView="0" workbookViewId="0" topLeftCell="A1">
      <selection activeCell="D33" sqref="D33"/>
    </sheetView>
  </sheetViews>
  <sheetFormatPr defaultColWidth="11.421875" defaultRowHeight="15"/>
  <cols>
    <col min="1" max="1" width="29.28125" style="4" customWidth="1"/>
    <col min="2" max="2" width="15.00390625" style="4" bestFit="1" customWidth="1"/>
    <col min="3" max="3" width="13.7109375" style="4" bestFit="1" customWidth="1"/>
    <col min="4" max="4" width="7.28125" style="4" customWidth="1"/>
    <col min="5" max="5" width="10.140625" style="4" bestFit="1" customWidth="1"/>
    <col min="6" max="6" width="5.421875" style="4" customWidth="1"/>
    <col min="7" max="7" width="27.28125" style="4" customWidth="1"/>
    <col min="8" max="8" width="12.8515625" style="4" customWidth="1"/>
    <col min="9" max="9" width="11.8515625" style="4" bestFit="1" customWidth="1"/>
    <col min="10" max="10" width="9.00390625" style="4" bestFit="1" customWidth="1"/>
    <col min="11" max="11" width="6.421875" style="4" customWidth="1"/>
    <col min="12" max="16384" width="11.421875" style="4" customWidth="1"/>
  </cols>
  <sheetData>
    <row r="2" ht="12">
      <c r="A2" s="61" t="s">
        <v>363</v>
      </c>
    </row>
    <row r="4" spans="1:5" ht="12">
      <c r="A4" s="462" t="str">
        <f>'INGRESO POR VENTAS'!A4</f>
        <v>Repostero de 2m</v>
      </c>
      <c r="B4" s="464" t="s">
        <v>58</v>
      </c>
      <c r="C4" s="465"/>
      <c r="D4" s="466"/>
      <c r="E4" s="316">
        <f>SUM(E6:E18)+SUM(E19:E21)</f>
        <v>1092.7826866414878</v>
      </c>
    </row>
    <row r="5" spans="1:11" ht="12">
      <c r="A5" s="463"/>
      <c r="B5" s="308" t="s">
        <v>497</v>
      </c>
      <c r="C5" s="308" t="s">
        <v>33</v>
      </c>
      <c r="D5" s="308" t="s">
        <v>498</v>
      </c>
      <c r="E5" s="308" t="s">
        <v>499</v>
      </c>
      <c r="G5" s="320" t="s">
        <v>83</v>
      </c>
      <c r="H5" s="293" t="s">
        <v>501</v>
      </c>
      <c r="I5" s="318" t="s">
        <v>502</v>
      </c>
      <c r="J5" s="308" t="s">
        <v>503</v>
      </c>
      <c r="K5" s="308" t="s">
        <v>59</v>
      </c>
    </row>
    <row r="6" spans="1:11" ht="12">
      <c r="A6" s="270" t="s">
        <v>364</v>
      </c>
      <c r="B6" s="19">
        <v>3</v>
      </c>
      <c r="C6" s="19" t="s">
        <v>365</v>
      </c>
      <c r="D6" s="19">
        <v>160</v>
      </c>
      <c r="E6" s="19">
        <f>+B6*D6</f>
        <v>480</v>
      </c>
      <c r="G6" s="319" t="str">
        <f>+'INGRESO POR VENTAS'!A20</f>
        <v>Repostero de 2m</v>
      </c>
      <c r="H6" s="324">
        <v>1700</v>
      </c>
      <c r="I6" s="321">
        <f>+E4</f>
        <v>1092.7826866414878</v>
      </c>
      <c r="J6" s="321">
        <f>+H6-I6</f>
        <v>607.2173133585122</v>
      </c>
      <c r="K6" s="322">
        <f>+J6/I6</f>
        <v>0.555661542575046</v>
      </c>
    </row>
    <row r="7" spans="1:11" ht="12">
      <c r="A7" s="270" t="s">
        <v>382</v>
      </c>
      <c r="B7" s="19">
        <v>1</v>
      </c>
      <c r="C7" s="19" t="s">
        <v>383</v>
      </c>
      <c r="D7" s="19">
        <v>38</v>
      </c>
      <c r="E7" s="19">
        <f aca="true" t="shared" si="0" ref="E7:E18">+B7*D7</f>
        <v>38</v>
      </c>
      <c r="G7" s="319" t="str">
        <f>+'INGRESO POR VENTAS'!A21</f>
        <v>Closet</v>
      </c>
      <c r="H7" s="324">
        <v>800</v>
      </c>
      <c r="I7" s="321">
        <f>+E23</f>
        <v>378.72268664148777</v>
      </c>
      <c r="J7" s="321">
        <f aca="true" t="shared" si="1" ref="J7:J16">+H7-I7</f>
        <v>421.27731335851223</v>
      </c>
      <c r="K7" s="322">
        <f aca="true" t="shared" si="2" ref="K7:K16">+J7/I7</f>
        <v>1.1123635531169227</v>
      </c>
    </row>
    <row r="8" spans="1:11" ht="12">
      <c r="A8" s="270" t="s">
        <v>366</v>
      </c>
      <c r="B8" s="19">
        <v>35</v>
      </c>
      <c r="C8" s="19" t="s">
        <v>367</v>
      </c>
      <c r="D8" s="19">
        <v>0.3</v>
      </c>
      <c r="E8" s="19">
        <f t="shared" si="0"/>
        <v>10.5</v>
      </c>
      <c r="G8" s="319" t="str">
        <f>+'INGRESO POR VENTAS'!A22</f>
        <v>Centro de Entretenimiento Peq</v>
      </c>
      <c r="H8" s="324">
        <v>600</v>
      </c>
      <c r="I8" s="321">
        <f>+E39</f>
        <v>391.21768664148766</v>
      </c>
      <c r="J8" s="321">
        <f t="shared" si="1"/>
        <v>208.78231335851234</v>
      </c>
      <c r="K8" s="322">
        <f t="shared" si="2"/>
        <v>0.5336729920133716</v>
      </c>
    </row>
    <row r="9" spans="1:11" ht="12">
      <c r="A9" s="19" t="s">
        <v>368</v>
      </c>
      <c r="B9" s="19">
        <v>0.25</v>
      </c>
      <c r="C9" s="19" t="s">
        <v>369</v>
      </c>
      <c r="D9" s="19">
        <v>2.5</v>
      </c>
      <c r="E9" s="19">
        <f t="shared" si="0"/>
        <v>0.625</v>
      </c>
      <c r="G9" s="319" t="str">
        <f>+'INGRESO POR VENTAS'!A23</f>
        <v>Centro de Entretenimiento Grand</v>
      </c>
      <c r="H9" s="324">
        <v>3000</v>
      </c>
      <c r="I9" s="321">
        <f>+E54</f>
        <v>1640.8576866414876</v>
      </c>
      <c r="J9" s="321">
        <f t="shared" si="1"/>
        <v>1359.1423133585124</v>
      </c>
      <c r="K9" s="322">
        <f t="shared" si="2"/>
        <v>0.8283121226316762</v>
      </c>
    </row>
    <row r="10" spans="1:11" ht="12">
      <c r="A10" s="270" t="s">
        <v>371</v>
      </c>
      <c r="B10" s="19">
        <v>1</v>
      </c>
      <c r="C10" s="19" t="s">
        <v>370</v>
      </c>
      <c r="D10" s="19">
        <v>3.6</v>
      </c>
      <c r="E10" s="19">
        <f t="shared" si="0"/>
        <v>3.6</v>
      </c>
      <c r="G10" s="319" t="str">
        <f>+'INGRESO POR VENTAS'!A24</f>
        <v>Escritorio</v>
      </c>
      <c r="H10" s="324">
        <v>550</v>
      </c>
      <c r="I10" s="321">
        <f>+E79</f>
        <v>344.12168664148766</v>
      </c>
      <c r="J10" s="321">
        <f t="shared" si="1"/>
        <v>205.87831335851234</v>
      </c>
      <c r="K10" s="322">
        <f t="shared" si="2"/>
        <v>0.5982718362443695</v>
      </c>
    </row>
    <row r="11" spans="1:11" ht="12">
      <c r="A11" s="270" t="s">
        <v>372</v>
      </c>
      <c r="B11" s="19">
        <v>0.5</v>
      </c>
      <c r="C11" s="19" t="s">
        <v>373</v>
      </c>
      <c r="D11" s="19">
        <v>1.6</v>
      </c>
      <c r="E11" s="19">
        <f t="shared" si="0"/>
        <v>0.8</v>
      </c>
      <c r="G11" s="319" t="str">
        <f>+'INGRESO POR VENTAS'!A25</f>
        <v>Set de Cama</v>
      </c>
      <c r="H11" s="324">
        <v>750</v>
      </c>
      <c r="I11" s="321">
        <f>+E95</f>
        <v>450.65768664148766</v>
      </c>
      <c r="J11" s="321">
        <f t="shared" si="1"/>
        <v>299.34231335851234</v>
      </c>
      <c r="K11" s="322">
        <f t="shared" si="2"/>
        <v>0.6642343451175805</v>
      </c>
    </row>
    <row r="12" spans="1:11" ht="12">
      <c r="A12" s="270" t="s">
        <v>374</v>
      </c>
      <c r="B12" s="19">
        <v>16</v>
      </c>
      <c r="C12" s="19" t="s">
        <v>375</v>
      </c>
      <c r="D12" s="19">
        <v>1.8</v>
      </c>
      <c r="E12" s="19">
        <f t="shared" si="0"/>
        <v>28.8</v>
      </c>
      <c r="G12" s="319" t="str">
        <f>+'INGRESO POR VENTAS'!A26</f>
        <v>Estante</v>
      </c>
      <c r="H12" s="324">
        <v>280</v>
      </c>
      <c r="I12" s="321">
        <f>+E109</f>
        <v>206.2776866414876</v>
      </c>
      <c r="J12" s="321">
        <f t="shared" si="1"/>
        <v>73.7223133585124</v>
      </c>
      <c r="K12" s="322">
        <f t="shared" si="2"/>
        <v>0.3573935434259664</v>
      </c>
    </row>
    <row r="13" spans="1:11" ht="12">
      <c r="A13" s="270" t="s">
        <v>376</v>
      </c>
      <c r="B13" s="19">
        <v>8</v>
      </c>
      <c r="C13" s="19" t="s">
        <v>377</v>
      </c>
      <c r="D13" s="19">
        <v>6.8</v>
      </c>
      <c r="E13" s="19">
        <f t="shared" si="0"/>
        <v>54.4</v>
      </c>
      <c r="G13" s="319" t="str">
        <f>+'INGRESO POR VENTAS'!A27</f>
        <v>MELAMINE DURAPLAC</v>
      </c>
      <c r="H13" s="324">
        <v>225</v>
      </c>
      <c r="I13" s="321">
        <f>+B120</f>
        <v>160</v>
      </c>
      <c r="J13" s="321">
        <f t="shared" si="1"/>
        <v>65</v>
      </c>
      <c r="K13" s="322">
        <f t="shared" si="2"/>
        <v>0.40625</v>
      </c>
    </row>
    <row r="14" spans="1:11" ht="12">
      <c r="A14" s="270" t="s">
        <v>378</v>
      </c>
      <c r="B14" s="19">
        <v>16</v>
      </c>
      <c r="C14" s="19" t="s">
        <v>375</v>
      </c>
      <c r="D14" s="19">
        <v>2.2</v>
      </c>
      <c r="E14" s="19">
        <f t="shared" si="0"/>
        <v>35.2</v>
      </c>
      <c r="G14" s="319" t="str">
        <f>+'INGRESO POR VENTAS'!A28</f>
        <v>MELAMINE MASSISA</v>
      </c>
      <c r="H14" s="324">
        <v>220</v>
      </c>
      <c r="I14" s="321">
        <f>+B121</f>
        <v>155</v>
      </c>
      <c r="J14" s="321">
        <f t="shared" si="1"/>
        <v>65</v>
      </c>
      <c r="K14" s="322">
        <f t="shared" si="2"/>
        <v>0.41935483870967744</v>
      </c>
    </row>
    <row r="15" spans="1:11" ht="12">
      <c r="A15" s="270" t="s">
        <v>379</v>
      </c>
      <c r="B15" s="19">
        <v>12</v>
      </c>
      <c r="C15" s="19" t="s">
        <v>380</v>
      </c>
      <c r="D15" s="19">
        <v>0.3</v>
      </c>
      <c r="E15" s="19">
        <f t="shared" si="0"/>
        <v>3.5999999999999996</v>
      </c>
      <c r="G15" s="319" t="str">
        <f>+'INGRESO POR VENTAS'!A29</f>
        <v>MELAMINE DURATEX</v>
      </c>
      <c r="H15" s="324">
        <v>195</v>
      </c>
      <c r="I15" s="321">
        <f>+B122</f>
        <v>140</v>
      </c>
      <c r="J15" s="321">
        <f t="shared" si="1"/>
        <v>55</v>
      </c>
      <c r="K15" s="322">
        <f t="shared" si="2"/>
        <v>0.39285714285714285</v>
      </c>
    </row>
    <row r="16" spans="1:11" ht="12">
      <c r="A16" s="270" t="s">
        <v>381</v>
      </c>
      <c r="B16" s="19">
        <v>16</v>
      </c>
      <c r="C16" s="19" t="s">
        <v>375</v>
      </c>
      <c r="D16" s="19">
        <v>0.2</v>
      </c>
      <c r="E16" s="19">
        <f t="shared" si="0"/>
        <v>3.2</v>
      </c>
      <c r="G16" s="319" t="s">
        <v>454</v>
      </c>
      <c r="H16" s="324">
        <v>3500</v>
      </c>
      <c r="I16" s="321">
        <f>+B123</f>
        <v>2500</v>
      </c>
      <c r="J16" s="321">
        <f t="shared" si="1"/>
        <v>1000</v>
      </c>
      <c r="K16" s="322">
        <f t="shared" si="2"/>
        <v>0.4</v>
      </c>
    </row>
    <row r="17" spans="1:5" ht="12">
      <c r="A17" s="270" t="s">
        <v>384</v>
      </c>
      <c r="B17" s="19">
        <v>2</v>
      </c>
      <c r="C17" s="19" t="s">
        <v>385</v>
      </c>
      <c r="D17" s="19">
        <v>180</v>
      </c>
      <c r="E17" s="19">
        <f t="shared" si="0"/>
        <v>360</v>
      </c>
    </row>
    <row r="18" spans="1:5" ht="12">
      <c r="A18" s="271" t="s">
        <v>399</v>
      </c>
      <c r="B18" s="113">
        <v>80</v>
      </c>
      <c r="C18" s="113" t="s">
        <v>400</v>
      </c>
      <c r="D18" s="19">
        <v>0.04</v>
      </c>
      <c r="E18" s="19">
        <f t="shared" si="0"/>
        <v>3.2</v>
      </c>
    </row>
    <row r="19" spans="1:5" ht="12">
      <c r="A19" s="323" t="s">
        <v>283</v>
      </c>
      <c r="B19" s="19"/>
      <c r="C19" s="19"/>
      <c r="D19" s="19"/>
      <c r="E19" s="191">
        <f>'PLANILLA DE EMPLEADOS'!J20/'PUNTO DE EQUILIBRIO'!B16</f>
        <v>47.088</v>
      </c>
    </row>
    <row r="20" spans="1:5" ht="12">
      <c r="A20" s="323" t="s">
        <v>14</v>
      </c>
      <c r="B20" s="19"/>
      <c r="C20" s="19"/>
      <c r="D20" s="19"/>
      <c r="E20" s="191">
        <f>'GASTOS INDIRECTOS'!E17/'PUNTO DE EQUILIBRIO'!B16</f>
        <v>17.72</v>
      </c>
    </row>
    <row r="21" spans="1:9" ht="12">
      <c r="A21" s="323" t="s">
        <v>441</v>
      </c>
      <c r="B21" s="19"/>
      <c r="C21" s="19"/>
      <c r="D21" s="19"/>
      <c r="E21" s="191">
        <f>'AMORTIZACION DE CREDITO'!C10/'PUNTO DE EQUILIBRIO'!B16</f>
        <v>6.049686641487634</v>
      </c>
      <c r="G21" s="320" t="s">
        <v>83</v>
      </c>
      <c r="H21" s="293" t="str">
        <f aca="true" t="shared" si="3" ref="H21:H32">+I5</f>
        <v>Precio Costo</v>
      </c>
      <c r="I21" s="325">
        <v>0.4</v>
      </c>
    </row>
    <row r="22" spans="7:9" ht="12">
      <c r="G22" s="319" t="str">
        <f aca="true" t="shared" si="4" ref="G22:G31">+G6</f>
        <v>Repostero de 2m</v>
      </c>
      <c r="H22" s="324">
        <f t="shared" si="3"/>
        <v>1092.7826866414878</v>
      </c>
      <c r="I22" s="326">
        <f>+H22*(1+$I$21)</f>
        <v>1529.8957612980828</v>
      </c>
    </row>
    <row r="23" spans="1:9" ht="12">
      <c r="A23" s="462" t="str">
        <f>'INGRESO POR VENTAS'!A5</f>
        <v>Closet</v>
      </c>
      <c r="B23" s="464" t="s">
        <v>58</v>
      </c>
      <c r="C23" s="465"/>
      <c r="D23" s="466"/>
      <c r="E23" s="316">
        <f>SUM(E25:E36)+SUM(E19:E21)</f>
        <v>378.72268664148777</v>
      </c>
      <c r="G23" s="319" t="str">
        <f t="shared" si="4"/>
        <v>Closet</v>
      </c>
      <c r="H23" s="324">
        <f t="shared" si="3"/>
        <v>378.72268664148777</v>
      </c>
      <c r="I23" s="326">
        <f aca="true" t="shared" si="5" ref="I23:I32">+H23*(1+$I$21)</f>
        <v>530.2117612980828</v>
      </c>
    </row>
    <row r="24" spans="1:9" ht="12">
      <c r="A24" s="463"/>
      <c r="B24" s="308" t="s">
        <v>497</v>
      </c>
      <c r="C24" s="308"/>
      <c r="D24" s="308" t="s">
        <v>498</v>
      </c>
      <c r="E24" s="308" t="s">
        <v>499</v>
      </c>
      <c r="G24" s="319" t="str">
        <f t="shared" si="4"/>
        <v>Centro de Entretenimiento Peq</v>
      </c>
      <c r="H24" s="324">
        <f t="shared" si="3"/>
        <v>391.21768664148766</v>
      </c>
      <c r="I24" s="326">
        <f t="shared" si="5"/>
        <v>547.7047612980826</v>
      </c>
    </row>
    <row r="25" spans="1:9" ht="12">
      <c r="A25" s="270" t="s">
        <v>364</v>
      </c>
      <c r="B25" s="19">
        <v>1.5</v>
      </c>
      <c r="C25" s="19" t="s">
        <v>386</v>
      </c>
      <c r="D25" s="19">
        <v>160</v>
      </c>
      <c r="E25" s="19">
        <f>+B25*D25</f>
        <v>240</v>
      </c>
      <c r="G25" s="319" t="str">
        <f t="shared" si="4"/>
        <v>Centro de Entretenimiento Grand</v>
      </c>
      <c r="H25" s="324">
        <f t="shared" si="3"/>
        <v>1640.8576866414876</v>
      </c>
      <c r="I25" s="326">
        <f t="shared" si="5"/>
        <v>2297.2007612980824</v>
      </c>
    </row>
    <row r="26" spans="1:9" ht="12">
      <c r="A26" s="270" t="s">
        <v>382</v>
      </c>
      <c r="B26" s="19">
        <v>0.25</v>
      </c>
      <c r="C26" s="19" t="s">
        <v>398</v>
      </c>
      <c r="D26" s="19">
        <v>38</v>
      </c>
      <c r="E26" s="191">
        <f aca="true" t="shared" si="6" ref="E26:E36">+B26*D26</f>
        <v>9.5</v>
      </c>
      <c r="G26" s="319" t="str">
        <f t="shared" si="4"/>
        <v>Escritorio</v>
      </c>
      <c r="H26" s="324">
        <f t="shared" si="3"/>
        <v>344.12168664148766</v>
      </c>
      <c r="I26" s="326">
        <f t="shared" si="5"/>
        <v>481.77036129808266</v>
      </c>
    </row>
    <row r="27" spans="1:9" ht="12">
      <c r="A27" s="270" t="s">
        <v>366</v>
      </c>
      <c r="B27" s="19">
        <v>25</v>
      </c>
      <c r="C27" s="19" t="s">
        <v>387</v>
      </c>
      <c r="D27" s="19">
        <v>0.3</v>
      </c>
      <c r="E27" s="19">
        <f t="shared" si="6"/>
        <v>7.5</v>
      </c>
      <c r="G27" s="319" t="str">
        <f t="shared" si="4"/>
        <v>Set de Cama</v>
      </c>
      <c r="H27" s="324">
        <f t="shared" si="3"/>
        <v>450.65768664148766</v>
      </c>
      <c r="I27" s="326">
        <f t="shared" si="5"/>
        <v>630.9207612980827</v>
      </c>
    </row>
    <row r="28" spans="1:9" ht="12">
      <c r="A28" s="270" t="s">
        <v>374</v>
      </c>
      <c r="B28" s="19">
        <v>6</v>
      </c>
      <c r="C28" s="19" t="s">
        <v>388</v>
      </c>
      <c r="D28" s="19">
        <v>1.8</v>
      </c>
      <c r="E28" s="19">
        <f t="shared" si="6"/>
        <v>10.8</v>
      </c>
      <c r="G28" s="319" t="str">
        <f t="shared" si="4"/>
        <v>Estante</v>
      </c>
      <c r="H28" s="324">
        <f t="shared" si="3"/>
        <v>206.2776866414876</v>
      </c>
      <c r="I28" s="326">
        <f t="shared" si="5"/>
        <v>288.78876129808265</v>
      </c>
    </row>
    <row r="29" spans="1:9" ht="12">
      <c r="A29" s="271" t="s">
        <v>389</v>
      </c>
      <c r="B29" s="19">
        <v>0.5</v>
      </c>
      <c r="C29" s="19" t="s">
        <v>390</v>
      </c>
      <c r="D29" s="19">
        <v>3.33</v>
      </c>
      <c r="E29" s="19">
        <f t="shared" si="6"/>
        <v>1.665</v>
      </c>
      <c r="G29" s="319" t="str">
        <f t="shared" si="4"/>
        <v>MELAMINE DURAPLAC</v>
      </c>
      <c r="H29" s="324">
        <f t="shared" si="3"/>
        <v>160</v>
      </c>
      <c r="I29" s="326">
        <f t="shared" si="5"/>
        <v>224</v>
      </c>
    </row>
    <row r="30" spans="1:9" ht="12">
      <c r="A30" s="270" t="s">
        <v>371</v>
      </c>
      <c r="B30" s="19">
        <v>50</v>
      </c>
      <c r="C30" s="19" t="s">
        <v>391</v>
      </c>
      <c r="D30" s="19">
        <v>0.18</v>
      </c>
      <c r="E30" s="19">
        <f t="shared" si="6"/>
        <v>9</v>
      </c>
      <c r="G30" s="319" t="str">
        <f t="shared" si="4"/>
        <v>MELAMINE MASSISA</v>
      </c>
      <c r="H30" s="324">
        <f t="shared" si="3"/>
        <v>155</v>
      </c>
      <c r="I30" s="326">
        <f t="shared" si="5"/>
        <v>217</v>
      </c>
    </row>
    <row r="31" spans="1:9" ht="12">
      <c r="A31" s="270" t="s">
        <v>372</v>
      </c>
      <c r="B31" s="19">
        <v>10</v>
      </c>
      <c r="C31" s="19" t="s">
        <v>392</v>
      </c>
      <c r="D31" s="19">
        <v>0.16</v>
      </c>
      <c r="E31" s="19">
        <f t="shared" si="6"/>
        <v>1.6</v>
      </c>
      <c r="G31" s="319" t="str">
        <f t="shared" si="4"/>
        <v>MELAMINE DURATEX</v>
      </c>
      <c r="H31" s="324">
        <f t="shared" si="3"/>
        <v>140</v>
      </c>
      <c r="I31" s="326">
        <f t="shared" si="5"/>
        <v>196</v>
      </c>
    </row>
    <row r="32" spans="1:9" ht="12">
      <c r="A32" s="271" t="s">
        <v>393</v>
      </c>
      <c r="B32" s="19">
        <v>2</v>
      </c>
      <c r="C32" s="19" t="s">
        <v>394</v>
      </c>
      <c r="D32" s="19">
        <v>6.8</v>
      </c>
      <c r="E32" s="19">
        <f t="shared" si="6"/>
        <v>13.6</v>
      </c>
      <c r="G32" s="319" t="s">
        <v>454</v>
      </c>
      <c r="H32" s="324">
        <f t="shared" si="3"/>
        <v>2500</v>
      </c>
      <c r="I32" s="326">
        <f t="shared" si="5"/>
        <v>3500</v>
      </c>
    </row>
    <row r="33" spans="1:5" ht="12">
      <c r="A33" s="270" t="s">
        <v>379</v>
      </c>
      <c r="B33" s="19">
        <v>6</v>
      </c>
      <c r="C33" s="19" t="s">
        <v>395</v>
      </c>
      <c r="D33" s="19">
        <v>0.3</v>
      </c>
      <c r="E33" s="19">
        <f t="shared" si="6"/>
        <v>1.7999999999999998</v>
      </c>
    </row>
    <row r="34" spans="1:5" ht="12">
      <c r="A34" s="271" t="s">
        <v>396</v>
      </c>
      <c r="B34" s="19">
        <v>2</v>
      </c>
      <c r="C34" s="19" t="s">
        <v>394</v>
      </c>
      <c r="D34" s="19">
        <v>0.8</v>
      </c>
      <c r="E34" s="19">
        <f t="shared" si="6"/>
        <v>1.6</v>
      </c>
    </row>
    <row r="35" spans="1:5" ht="12">
      <c r="A35" s="271" t="s">
        <v>378</v>
      </c>
      <c r="B35" s="19">
        <v>4</v>
      </c>
      <c r="C35" s="19" t="s">
        <v>397</v>
      </c>
      <c r="D35" s="19">
        <v>2.2</v>
      </c>
      <c r="E35" s="19">
        <f t="shared" si="6"/>
        <v>8.8</v>
      </c>
    </row>
    <row r="36" spans="1:5" ht="12">
      <c r="A36" s="271" t="s">
        <v>399</v>
      </c>
      <c r="B36" s="113">
        <v>50</v>
      </c>
      <c r="C36" s="113" t="s">
        <v>391</v>
      </c>
      <c r="D36" s="113">
        <v>0.04</v>
      </c>
      <c r="E36" s="19">
        <f t="shared" si="6"/>
        <v>2</v>
      </c>
    </row>
    <row r="39" spans="1:5" ht="12">
      <c r="A39" s="462" t="str">
        <f>'INGRESO POR VENTAS'!A6</f>
        <v>Centro de Entretenimiento Peq</v>
      </c>
      <c r="B39" s="464" t="s">
        <v>58</v>
      </c>
      <c r="C39" s="465"/>
      <c r="D39" s="466"/>
      <c r="E39" s="316">
        <f>SUM(E41:E50)+SUM(E19:E21)</f>
        <v>391.21768664148766</v>
      </c>
    </row>
    <row r="40" spans="1:5" ht="12">
      <c r="A40" s="463"/>
      <c r="B40" s="308" t="s">
        <v>497</v>
      </c>
      <c r="C40" s="308"/>
      <c r="D40" s="308" t="s">
        <v>498</v>
      </c>
      <c r="E40" s="308" t="s">
        <v>499</v>
      </c>
    </row>
    <row r="41" spans="1:5" ht="12">
      <c r="A41" s="270" t="s">
        <v>364</v>
      </c>
      <c r="B41" s="19">
        <v>1</v>
      </c>
      <c r="C41" s="19" t="s">
        <v>383</v>
      </c>
      <c r="D41" s="19">
        <v>160</v>
      </c>
      <c r="E41" s="19">
        <f aca="true" t="shared" si="7" ref="E41:E50">+B41*D41</f>
        <v>160</v>
      </c>
    </row>
    <row r="42" spans="1:5" ht="12">
      <c r="A42" s="270" t="s">
        <v>382</v>
      </c>
      <c r="B42" s="19">
        <v>0.5</v>
      </c>
      <c r="C42" s="19" t="s">
        <v>401</v>
      </c>
      <c r="D42" s="19">
        <v>38</v>
      </c>
      <c r="E42" s="19">
        <f t="shared" si="7"/>
        <v>19</v>
      </c>
    </row>
    <row r="43" spans="1:5" ht="12">
      <c r="A43" s="270" t="s">
        <v>371</v>
      </c>
      <c r="B43" s="19">
        <v>50</v>
      </c>
      <c r="C43" s="19" t="s">
        <v>391</v>
      </c>
      <c r="D43" s="19">
        <v>1.8</v>
      </c>
      <c r="E43" s="19">
        <f t="shared" si="7"/>
        <v>90</v>
      </c>
    </row>
    <row r="44" spans="1:5" ht="12">
      <c r="A44" s="270" t="s">
        <v>372</v>
      </c>
      <c r="B44" s="19">
        <v>10</v>
      </c>
      <c r="C44" s="19" t="s">
        <v>392</v>
      </c>
      <c r="D44" s="19">
        <v>0.016</v>
      </c>
      <c r="E44" s="19">
        <f t="shared" si="7"/>
        <v>0.16</v>
      </c>
    </row>
    <row r="45" spans="1:5" ht="12">
      <c r="A45" s="272" t="s">
        <v>378</v>
      </c>
      <c r="B45" s="19">
        <v>2</v>
      </c>
      <c r="C45" s="19" t="s">
        <v>394</v>
      </c>
      <c r="D45" s="19">
        <v>2.2</v>
      </c>
      <c r="E45" s="19">
        <f t="shared" si="7"/>
        <v>4.4</v>
      </c>
    </row>
    <row r="46" spans="1:5" ht="12">
      <c r="A46" s="271" t="s">
        <v>399</v>
      </c>
      <c r="B46" s="19">
        <v>30</v>
      </c>
      <c r="C46" s="19" t="s">
        <v>402</v>
      </c>
      <c r="D46" s="19">
        <v>0.04</v>
      </c>
      <c r="E46" s="19">
        <f t="shared" si="7"/>
        <v>1.2</v>
      </c>
    </row>
    <row r="47" spans="1:5" ht="12">
      <c r="A47" s="271" t="s">
        <v>403</v>
      </c>
      <c r="B47" s="19">
        <v>8</v>
      </c>
      <c r="C47" s="19" t="s">
        <v>377</v>
      </c>
      <c r="D47" s="19">
        <v>0.2</v>
      </c>
      <c r="E47" s="19">
        <f t="shared" si="7"/>
        <v>1.6</v>
      </c>
    </row>
    <row r="48" spans="1:5" ht="12">
      <c r="A48" s="271" t="s">
        <v>404</v>
      </c>
      <c r="B48" s="19">
        <v>4</v>
      </c>
      <c r="C48" s="19" t="s">
        <v>397</v>
      </c>
      <c r="D48" s="19">
        <v>2</v>
      </c>
      <c r="E48" s="19">
        <f t="shared" si="7"/>
        <v>8</v>
      </c>
    </row>
    <row r="49" spans="1:5" ht="12">
      <c r="A49" s="271" t="s">
        <v>405</v>
      </c>
      <c r="B49" s="19">
        <v>1</v>
      </c>
      <c r="C49" s="19" t="s">
        <v>406</v>
      </c>
      <c r="D49" s="19">
        <v>27</v>
      </c>
      <c r="E49" s="19">
        <f t="shared" si="7"/>
        <v>27</v>
      </c>
    </row>
    <row r="50" spans="1:5" ht="12">
      <c r="A50" s="271" t="s">
        <v>407</v>
      </c>
      <c r="B50" s="113">
        <v>2</v>
      </c>
      <c r="C50" s="113" t="s">
        <v>394</v>
      </c>
      <c r="D50" s="113">
        <v>4.5</v>
      </c>
      <c r="E50" s="19">
        <f t="shared" si="7"/>
        <v>9</v>
      </c>
    </row>
    <row r="54" spans="1:5" ht="12">
      <c r="A54" s="462" t="str">
        <f>'INGRESO POR VENTAS'!A23</f>
        <v>Centro de Entretenimiento Grand</v>
      </c>
      <c r="B54" s="464" t="s">
        <v>58</v>
      </c>
      <c r="C54" s="465"/>
      <c r="D54" s="466"/>
      <c r="E54" s="316">
        <f>SUM(E56:E74)+SUM(E19:E21)</f>
        <v>1640.8576866414876</v>
      </c>
    </row>
    <row r="55" spans="1:5" ht="12">
      <c r="A55" s="463"/>
      <c r="B55" s="308" t="s">
        <v>497</v>
      </c>
      <c r="C55" s="308"/>
      <c r="D55" s="308" t="s">
        <v>498</v>
      </c>
      <c r="E55" s="308" t="s">
        <v>499</v>
      </c>
    </row>
    <row r="56" spans="1:5" ht="12">
      <c r="A56" s="270" t="s">
        <v>364</v>
      </c>
      <c r="B56" s="19">
        <v>3</v>
      </c>
      <c r="C56" s="19" t="s">
        <v>365</v>
      </c>
      <c r="D56" s="19">
        <v>160</v>
      </c>
      <c r="E56" s="19">
        <f aca="true" t="shared" si="8" ref="E56:E73">+B56*D56</f>
        <v>480</v>
      </c>
    </row>
    <row r="57" spans="1:5" ht="12">
      <c r="A57" s="270" t="s">
        <v>382</v>
      </c>
      <c r="B57" s="19">
        <v>2</v>
      </c>
      <c r="C57" s="19" t="s">
        <v>486</v>
      </c>
      <c r="D57" s="19">
        <v>38</v>
      </c>
      <c r="E57" s="19">
        <f t="shared" si="8"/>
        <v>76</v>
      </c>
    </row>
    <row r="58" spans="1:5" ht="12">
      <c r="A58" s="270" t="s">
        <v>371</v>
      </c>
      <c r="B58" s="19">
        <v>100</v>
      </c>
      <c r="C58" s="19" t="s">
        <v>490</v>
      </c>
      <c r="D58" s="19">
        <v>0.18</v>
      </c>
      <c r="E58" s="19">
        <f t="shared" si="8"/>
        <v>18</v>
      </c>
    </row>
    <row r="59" spans="1:5" ht="12">
      <c r="A59" s="270" t="s">
        <v>372</v>
      </c>
      <c r="B59" s="19">
        <v>50</v>
      </c>
      <c r="C59" s="19" t="s">
        <v>391</v>
      </c>
      <c r="D59" s="19">
        <v>0.016</v>
      </c>
      <c r="E59" s="19">
        <f t="shared" si="8"/>
        <v>0.8</v>
      </c>
    </row>
    <row r="60" spans="1:5" ht="12">
      <c r="A60" s="271" t="s">
        <v>378</v>
      </c>
      <c r="B60" s="19">
        <v>4</v>
      </c>
      <c r="C60" s="19" t="s">
        <v>397</v>
      </c>
      <c r="D60" s="19">
        <v>2.2</v>
      </c>
      <c r="E60" s="19">
        <f t="shared" si="8"/>
        <v>8.8</v>
      </c>
    </row>
    <row r="61" spans="1:5" ht="12">
      <c r="A61" s="271" t="s">
        <v>399</v>
      </c>
      <c r="B61" s="19">
        <v>100</v>
      </c>
      <c r="C61" s="19" t="s">
        <v>408</v>
      </c>
      <c r="D61" s="19">
        <v>0.04</v>
      </c>
      <c r="E61" s="19">
        <f t="shared" si="8"/>
        <v>4</v>
      </c>
    </row>
    <row r="62" spans="1:5" ht="12">
      <c r="A62" s="271" t="s">
        <v>403</v>
      </c>
      <c r="B62" s="19">
        <v>10</v>
      </c>
      <c r="C62" s="19" t="s">
        <v>392</v>
      </c>
      <c r="D62" s="19">
        <v>0.2</v>
      </c>
      <c r="E62" s="19">
        <f t="shared" si="8"/>
        <v>2</v>
      </c>
    </row>
    <row r="63" spans="1:5" ht="12">
      <c r="A63" s="271" t="s">
        <v>405</v>
      </c>
      <c r="B63" s="19">
        <v>4</v>
      </c>
      <c r="C63" s="19" t="s">
        <v>489</v>
      </c>
      <c r="D63" s="19">
        <v>30</v>
      </c>
      <c r="E63" s="19">
        <f t="shared" si="8"/>
        <v>120</v>
      </c>
    </row>
    <row r="64" spans="1:5" ht="12">
      <c r="A64" s="271" t="s">
        <v>409</v>
      </c>
      <c r="B64" s="19">
        <v>2</v>
      </c>
      <c r="C64" s="19" t="s">
        <v>394</v>
      </c>
      <c r="D64" s="19">
        <v>6.8</v>
      </c>
      <c r="E64" s="19">
        <f t="shared" si="8"/>
        <v>13.6</v>
      </c>
    </row>
    <row r="65" spans="1:5" ht="12">
      <c r="A65" s="271" t="s">
        <v>410</v>
      </c>
      <c r="B65" s="19">
        <v>1</v>
      </c>
      <c r="C65" s="19" t="s">
        <v>411</v>
      </c>
      <c r="D65" s="19">
        <v>70</v>
      </c>
      <c r="E65" s="19">
        <f t="shared" si="8"/>
        <v>70</v>
      </c>
    </row>
    <row r="66" spans="1:5" ht="12">
      <c r="A66" s="271" t="s">
        <v>412</v>
      </c>
      <c r="B66" s="19">
        <v>12</v>
      </c>
      <c r="C66" s="19" t="s">
        <v>380</v>
      </c>
      <c r="D66" s="19">
        <v>0.15</v>
      </c>
      <c r="E66" s="19">
        <f t="shared" si="8"/>
        <v>1.7999999999999998</v>
      </c>
    </row>
    <row r="67" spans="1:5" ht="12">
      <c r="A67" s="271" t="s">
        <v>413</v>
      </c>
      <c r="B67" s="19">
        <v>2</v>
      </c>
      <c r="C67" s="19" t="s">
        <v>488</v>
      </c>
      <c r="D67" s="19">
        <v>8.5</v>
      </c>
      <c r="E67" s="19">
        <f t="shared" si="8"/>
        <v>17</v>
      </c>
    </row>
    <row r="68" spans="1:5" ht="12">
      <c r="A68" s="271" t="s">
        <v>366</v>
      </c>
      <c r="B68" s="19">
        <v>20</v>
      </c>
      <c r="C68" s="19" t="s">
        <v>415</v>
      </c>
      <c r="D68" s="19">
        <v>0.3</v>
      </c>
      <c r="E68" s="19">
        <f t="shared" si="8"/>
        <v>6</v>
      </c>
    </row>
    <row r="69" spans="1:5" ht="12">
      <c r="A69" s="271" t="s">
        <v>414</v>
      </c>
      <c r="B69" s="19">
        <v>10</v>
      </c>
      <c r="C69" s="19" t="s">
        <v>487</v>
      </c>
      <c r="D69" s="19">
        <v>1.2</v>
      </c>
      <c r="E69" s="19">
        <f t="shared" si="8"/>
        <v>12</v>
      </c>
    </row>
    <row r="70" spans="1:5" ht="12">
      <c r="A70" s="271" t="s">
        <v>416</v>
      </c>
      <c r="B70" s="19">
        <v>2</v>
      </c>
      <c r="C70" s="19" t="s">
        <v>394</v>
      </c>
      <c r="D70" s="19">
        <v>8</v>
      </c>
      <c r="E70" s="19">
        <f t="shared" si="8"/>
        <v>16</v>
      </c>
    </row>
    <row r="71" spans="1:5" ht="12">
      <c r="A71" s="271" t="s">
        <v>417</v>
      </c>
      <c r="B71" s="19">
        <v>2</v>
      </c>
      <c r="C71" s="19" t="s">
        <v>394</v>
      </c>
      <c r="D71" s="19">
        <v>25</v>
      </c>
      <c r="E71" s="19">
        <f t="shared" si="8"/>
        <v>50</v>
      </c>
    </row>
    <row r="72" spans="1:5" ht="12">
      <c r="A72" s="271" t="s">
        <v>418</v>
      </c>
      <c r="B72" s="19">
        <v>6</v>
      </c>
      <c r="C72" s="19" t="s">
        <v>419</v>
      </c>
      <c r="D72" s="19">
        <v>100</v>
      </c>
      <c r="E72" s="19">
        <f t="shared" si="8"/>
        <v>600</v>
      </c>
    </row>
    <row r="73" spans="1:5" ht="12">
      <c r="A73" s="271" t="s">
        <v>420</v>
      </c>
      <c r="B73" s="19">
        <v>4</v>
      </c>
      <c r="C73" s="19" t="s">
        <v>397</v>
      </c>
      <c r="D73" s="19">
        <v>18.5</v>
      </c>
      <c r="E73" s="19">
        <f t="shared" si="8"/>
        <v>74</v>
      </c>
    </row>
    <row r="74" spans="1:5" ht="12">
      <c r="A74" s="271"/>
      <c r="B74" s="19"/>
      <c r="C74" s="19"/>
      <c r="D74" s="19"/>
      <c r="E74" s="19"/>
    </row>
    <row r="79" spans="1:5" ht="12">
      <c r="A79" s="462" t="str">
        <f>'INGRESO POR VENTAS'!A8</f>
        <v>Escritorio</v>
      </c>
      <c r="B79" s="464" t="s">
        <v>58</v>
      </c>
      <c r="C79" s="465"/>
      <c r="D79" s="466"/>
      <c r="E79" s="316">
        <f>SUM(E81:E91)+SUM(E19:E21)</f>
        <v>344.12168664148766</v>
      </c>
    </row>
    <row r="80" spans="1:5" ht="12">
      <c r="A80" s="463"/>
      <c r="B80" s="308" t="s">
        <v>497</v>
      </c>
      <c r="C80" s="308"/>
      <c r="D80" s="308" t="s">
        <v>498</v>
      </c>
      <c r="E80" s="308" t="s">
        <v>499</v>
      </c>
    </row>
    <row r="81" spans="1:5" ht="12">
      <c r="A81" s="270" t="s">
        <v>364</v>
      </c>
      <c r="B81" s="19">
        <v>1</v>
      </c>
      <c r="C81" s="19" t="s">
        <v>383</v>
      </c>
      <c r="D81" s="19">
        <v>160</v>
      </c>
      <c r="E81" s="19">
        <f aca="true" t="shared" si="9" ref="E81:E91">+B81*D81</f>
        <v>160</v>
      </c>
    </row>
    <row r="82" spans="1:5" ht="12">
      <c r="A82" s="270" t="s">
        <v>382</v>
      </c>
      <c r="B82" s="19">
        <v>0.25</v>
      </c>
      <c r="C82" s="19" t="s">
        <v>421</v>
      </c>
      <c r="D82" s="19">
        <v>38</v>
      </c>
      <c r="E82" s="19">
        <f t="shared" si="9"/>
        <v>9.5</v>
      </c>
    </row>
    <row r="83" spans="1:5" ht="12">
      <c r="A83" s="270" t="s">
        <v>371</v>
      </c>
      <c r="B83" s="19">
        <v>30</v>
      </c>
      <c r="C83" s="19" t="s">
        <v>402</v>
      </c>
      <c r="D83" s="19">
        <v>1.8</v>
      </c>
      <c r="E83" s="19">
        <f t="shared" si="9"/>
        <v>54</v>
      </c>
    </row>
    <row r="84" spans="1:5" ht="12">
      <c r="A84" s="270" t="s">
        <v>372</v>
      </c>
      <c r="B84" s="19">
        <v>4</v>
      </c>
      <c r="C84" s="19" t="s">
        <v>397</v>
      </c>
      <c r="D84" s="19">
        <v>0.016</v>
      </c>
      <c r="E84" s="19">
        <f t="shared" si="9"/>
        <v>0.064</v>
      </c>
    </row>
    <row r="85" spans="1:5" ht="12">
      <c r="A85" s="271" t="s">
        <v>366</v>
      </c>
      <c r="B85" s="19">
        <v>15</v>
      </c>
      <c r="C85" s="19" t="s">
        <v>422</v>
      </c>
      <c r="D85" s="19">
        <v>0.3</v>
      </c>
      <c r="E85" s="19">
        <f t="shared" si="9"/>
        <v>4.5</v>
      </c>
    </row>
    <row r="86" spans="1:5" ht="12">
      <c r="A86" s="271" t="s">
        <v>378</v>
      </c>
      <c r="B86" s="19">
        <v>2</v>
      </c>
      <c r="C86" s="19" t="s">
        <v>394</v>
      </c>
      <c r="D86" s="19">
        <v>2.2</v>
      </c>
      <c r="E86" s="19">
        <f t="shared" si="9"/>
        <v>4.4</v>
      </c>
    </row>
    <row r="87" spans="1:5" ht="12">
      <c r="A87" s="271" t="s">
        <v>423</v>
      </c>
      <c r="B87" s="19">
        <v>1</v>
      </c>
      <c r="C87" s="19" t="s">
        <v>411</v>
      </c>
      <c r="D87" s="113">
        <v>30</v>
      </c>
      <c r="E87" s="19">
        <f t="shared" si="9"/>
        <v>30</v>
      </c>
    </row>
    <row r="88" spans="1:5" ht="12">
      <c r="A88" s="271" t="s">
        <v>424</v>
      </c>
      <c r="B88" s="19">
        <v>2</v>
      </c>
      <c r="C88" s="19" t="s">
        <v>394</v>
      </c>
      <c r="D88" s="113">
        <v>3.8</v>
      </c>
      <c r="E88" s="19">
        <f t="shared" si="9"/>
        <v>7.6</v>
      </c>
    </row>
    <row r="89" spans="1:5" ht="12">
      <c r="A89" s="271" t="s">
        <v>381</v>
      </c>
      <c r="B89" s="19">
        <v>6</v>
      </c>
      <c r="C89" s="19" t="s">
        <v>395</v>
      </c>
      <c r="D89" s="113">
        <v>0.2</v>
      </c>
      <c r="E89" s="19">
        <f t="shared" si="9"/>
        <v>1.2000000000000002</v>
      </c>
    </row>
    <row r="90" spans="1:5" ht="12">
      <c r="A90" s="113" t="s">
        <v>425</v>
      </c>
      <c r="B90" s="19">
        <v>4</v>
      </c>
      <c r="C90" s="19" t="s">
        <v>397</v>
      </c>
      <c r="D90" s="113">
        <v>0.3</v>
      </c>
      <c r="E90" s="19">
        <f t="shared" si="9"/>
        <v>1.2</v>
      </c>
    </row>
    <row r="91" spans="1:5" ht="12">
      <c r="A91" s="271" t="s">
        <v>426</v>
      </c>
      <c r="B91" s="113">
        <v>20</v>
      </c>
      <c r="C91" s="113" t="s">
        <v>427</v>
      </c>
      <c r="D91" s="19">
        <v>0.04</v>
      </c>
      <c r="E91" s="19">
        <f t="shared" si="9"/>
        <v>0.8</v>
      </c>
    </row>
    <row r="95" spans="1:5" ht="12">
      <c r="A95" s="462" t="str">
        <f>'INGRESO POR VENTAS'!A9</f>
        <v>Set de Cama</v>
      </c>
      <c r="B95" s="464" t="s">
        <v>58</v>
      </c>
      <c r="C95" s="465"/>
      <c r="D95" s="466"/>
      <c r="E95" s="316">
        <f>SUM(E97:E105)+SUM(E19:E21)</f>
        <v>450.65768664148766</v>
      </c>
    </row>
    <row r="96" spans="1:5" ht="12">
      <c r="A96" s="463"/>
      <c r="B96" s="308" t="s">
        <v>497</v>
      </c>
      <c r="C96" s="308"/>
      <c r="D96" s="308" t="s">
        <v>498</v>
      </c>
      <c r="E96" s="308" t="s">
        <v>499</v>
      </c>
    </row>
    <row r="97" spans="1:5" ht="12">
      <c r="A97" s="270" t="s">
        <v>364</v>
      </c>
      <c r="B97" s="19">
        <v>2</v>
      </c>
      <c r="C97" s="19" t="s">
        <v>486</v>
      </c>
      <c r="D97" s="19">
        <v>160</v>
      </c>
      <c r="E97" s="19">
        <f aca="true" t="shared" si="10" ref="E97:E105">+B97*D97</f>
        <v>320</v>
      </c>
    </row>
    <row r="98" spans="1:5" ht="12">
      <c r="A98" s="270" t="s">
        <v>382</v>
      </c>
      <c r="B98" s="19">
        <v>0.5</v>
      </c>
      <c r="C98" s="19" t="s">
        <v>491</v>
      </c>
      <c r="D98" s="19">
        <v>38</v>
      </c>
      <c r="E98" s="19">
        <f t="shared" si="10"/>
        <v>19</v>
      </c>
    </row>
    <row r="99" spans="1:5" ht="12">
      <c r="A99" s="270" t="s">
        <v>371</v>
      </c>
      <c r="B99" s="19">
        <v>1</v>
      </c>
      <c r="C99" s="19" t="s">
        <v>370</v>
      </c>
      <c r="D99" s="19">
        <v>3.2</v>
      </c>
      <c r="E99" s="19">
        <f t="shared" si="10"/>
        <v>3.2</v>
      </c>
    </row>
    <row r="100" spans="1:5" ht="12">
      <c r="A100" s="270" t="s">
        <v>372</v>
      </c>
      <c r="B100" s="19">
        <v>25</v>
      </c>
      <c r="C100" s="19" t="s">
        <v>492</v>
      </c>
      <c r="D100" s="19">
        <v>0.016</v>
      </c>
      <c r="E100" s="19">
        <f t="shared" si="10"/>
        <v>0.4</v>
      </c>
    </row>
    <row r="101" spans="1:5" ht="12">
      <c r="A101" s="113" t="s">
        <v>393</v>
      </c>
      <c r="B101" s="19">
        <v>4</v>
      </c>
      <c r="C101" s="19" t="s">
        <v>397</v>
      </c>
      <c r="D101" s="19">
        <v>3.5</v>
      </c>
      <c r="E101" s="19">
        <f t="shared" si="10"/>
        <v>14</v>
      </c>
    </row>
    <row r="102" spans="1:5" ht="12">
      <c r="A102" s="271" t="s">
        <v>428</v>
      </c>
      <c r="B102" s="19">
        <v>20</v>
      </c>
      <c r="C102" s="19" t="s">
        <v>415</v>
      </c>
      <c r="D102" s="19">
        <v>0.3</v>
      </c>
      <c r="E102" s="19">
        <f t="shared" si="10"/>
        <v>6</v>
      </c>
    </row>
    <row r="103" spans="1:5" ht="12">
      <c r="A103" s="113" t="s">
        <v>429</v>
      </c>
      <c r="B103" s="19">
        <v>8</v>
      </c>
      <c r="C103" s="19" t="s">
        <v>493</v>
      </c>
      <c r="D103" s="19">
        <v>1.2</v>
      </c>
      <c r="E103" s="19">
        <f t="shared" si="10"/>
        <v>9.6</v>
      </c>
    </row>
    <row r="104" spans="1:5" ht="12">
      <c r="A104" s="271" t="s">
        <v>430</v>
      </c>
      <c r="B104" s="19">
        <v>4</v>
      </c>
      <c r="C104" s="19" t="s">
        <v>397</v>
      </c>
      <c r="D104" s="19">
        <v>1.4</v>
      </c>
      <c r="E104" s="19">
        <f t="shared" si="10"/>
        <v>5.6</v>
      </c>
    </row>
    <row r="105" spans="1:5" ht="12">
      <c r="A105" s="271" t="s">
        <v>399</v>
      </c>
      <c r="B105" s="19">
        <v>1</v>
      </c>
      <c r="C105" s="19" t="s">
        <v>370</v>
      </c>
      <c r="D105" s="19">
        <v>2</v>
      </c>
      <c r="E105" s="19">
        <f t="shared" si="10"/>
        <v>2</v>
      </c>
    </row>
    <row r="109" spans="1:5" ht="12">
      <c r="A109" s="462" t="str">
        <f>'INGRESO POR VENTAS'!A10</f>
        <v>Estante</v>
      </c>
      <c r="B109" s="464" t="s">
        <v>58</v>
      </c>
      <c r="C109" s="465"/>
      <c r="D109" s="466"/>
      <c r="E109" s="316">
        <f>SUM(E111:E115)+SUM(E19:E21)</f>
        <v>206.2776866414876</v>
      </c>
    </row>
    <row r="110" spans="1:5" ht="12">
      <c r="A110" s="463"/>
      <c r="B110" s="308" t="s">
        <v>497</v>
      </c>
      <c r="C110" s="308"/>
      <c r="D110" s="308" t="s">
        <v>498</v>
      </c>
      <c r="E110" s="308" t="s">
        <v>499</v>
      </c>
    </row>
    <row r="111" spans="1:5" ht="12">
      <c r="A111" s="270" t="s">
        <v>364</v>
      </c>
      <c r="B111" s="19">
        <v>0.5</v>
      </c>
      <c r="C111" s="19" t="s">
        <v>401</v>
      </c>
      <c r="D111" s="19">
        <v>160</v>
      </c>
      <c r="E111" s="19">
        <f>+B111*D111</f>
        <v>80</v>
      </c>
    </row>
    <row r="112" spans="1:5" ht="12">
      <c r="A112" s="270" t="s">
        <v>382</v>
      </c>
      <c r="B112" s="19">
        <v>0.25</v>
      </c>
      <c r="C112" s="19" t="s">
        <v>431</v>
      </c>
      <c r="D112" s="19">
        <v>38</v>
      </c>
      <c r="E112" s="19">
        <f>+B112*D112</f>
        <v>9.5</v>
      </c>
    </row>
    <row r="113" spans="1:5" ht="12">
      <c r="A113" s="270" t="s">
        <v>371</v>
      </c>
      <c r="B113" s="19">
        <v>23</v>
      </c>
      <c r="C113" s="19" t="s">
        <v>432</v>
      </c>
      <c r="D113" s="19">
        <v>1.8</v>
      </c>
      <c r="E113" s="19">
        <f>+B113*D113</f>
        <v>41.4</v>
      </c>
    </row>
    <row r="114" spans="1:5" ht="12">
      <c r="A114" s="270" t="s">
        <v>399</v>
      </c>
      <c r="B114" s="19">
        <v>23</v>
      </c>
      <c r="C114" s="19" t="s">
        <v>432</v>
      </c>
      <c r="D114" s="19">
        <v>0.04</v>
      </c>
      <c r="E114" s="19">
        <f>+B114*D114</f>
        <v>0.92</v>
      </c>
    </row>
    <row r="115" spans="1:5" ht="12">
      <c r="A115" s="113" t="s">
        <v>433</v>
      </c>
      <c r="B115" s="19">
        <v>12</v>
      </c>
      <c r="C115" s="19" t="s">
        <v>434</v>
      </c>
      <c r="D115" s="113">
        <v>0.3</v>
      </c>
      <c r="E115" s="19">
        <f>+B115*D115</f>
        <v>3.5999999999999996</v>
      </c>
    </row>
    <row r="118" spans="2:3" ht="12">
      <c r="B118" s="19"/>
      <c r="C118" s="329"/>
    </row>
    <row r="119" spans="1:3" ht="12">
      <c r="A119" s="317" t="s">
        <v>438</v>
      </c>
      <c r="B119" s="318" t="s">
        <v>439</v>
      </c>
      <c r="C119" s="330"/>
    </row>
    <row r="120" spans="1:5" ht="12">
      <c r="A120" s="19" t="str">
        <f>'INGRESO POR VENTAS'!A11</f>
        <v>MELAMINE DURAPLAC</v>
      </c>
      <c r="B120" s="275">
        <v>160</v>
      </c>
      <c r="C120" s="331"/>
      <c r="E120" s="207">
        <f>B120+SUM($E$19:$E$21)</f>
        <v>230.85768664148765</v>
      </c>
    </row>
    <row r="121" spans="1:5" ht="12">
      <c r="A121" s="19" t="str">
        <f>'INGRESO POR VENTAS'!A12</f>
        <v>MELAMINE MASSISA</v>
      </c>
      <c r="B121" s="275">
        <v>155</v>
      </c>
      <c r="C121" s="331"/>
      <c r="E121" s="207">
        <f>B121+SUM($E$19:$E$21)</f>
        <v>225.85768664148765</v>
      </c>
    </row>
    <row r="122" spans="1:5" ht="12">
      <c r="A122" s="19" t="str">
        <f>'INGRESO POR VENTAS'!A13</f>
        <v>MELAMINE DURATEX</v>
      </c>
      <c r="B122" s="275">
        <v>140</v>
      </c>
      <c r="C122" s="331"/>
      <c r="E122" s="207">
        <f>B122+SUM($E$19:$E$21)</f>
        <v>210.85768664148765</v>
      </c>
    </row>
    <row r="123" spans="1:5" ht="12">
      <c r="A123" s="19" t="str">
        <f>'INGRESO POR VENTAS'!A14</f>
        <v>ACCESORIOS</v>
      </c>
      <c r="B123" s="275">
        <v>2500</v>
      </c>
      <c r="C123" s="331"/>
      <c r="E123" s="207">
        <f>B123+SUM($E$19:$E$21)</f>
        <v>2570.857686641488</v>
      </c>
    </row>
    <row r="124" spans="1:5" ht="12">
      <c r="A124" s="19"/>
      <c r="B124" s="19"/>
      <c r="C124" s="329"/>
      <c r="E124" s="213"/>
    </row>
    <row r="127" ht="12">
      <c r="A127" s="61"/>
    </row>
  </sheetData>
  <sheetProtection/>
  <mergeCells count="14">
    <mergeCell ref="B54:D54"/>
    <mergeCell ref="B79:D79"/>
    <mergeCell ref="B95:D95"/>
    <mergeCell ref="B109:D109"/>
    <mergeCell ref="A109:A110"/>
    <mergeCell ref="A95:A96"/>
    <mergeCell ref="A79:A80"/>
    <mergeCell ref="A54:A55"/>
    <mergeCell ref="A4:A5"/>
    <mergeCell ref="B4:D4"/>
    <mergeCell ref="A23:A24"/>
    <mergeCell ref="B23:D23"/>
    <mergeCell ref="A39:A40"/>
    <mergeCell ref="B39:D39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5" sqref="A5"/>
    </sheetView>
  </sheetViews>
  <sheetFormatPr defaultColWidth="11.421875" defaultRowHeight="15"/>
  <sheetData>
    <row r="2" ht="15">
      <c r="A2" t="s">
        <v>515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5"/>
  <sheetViews>
    <sheetView showGridLines="0" zoomScalePageLayoutView="0" workbookViewId="0" topLeftCell="A1">
      <selection activeCell="D26" sqref="D26"/>
    </sheetView>
  </sheetViews>
  <sheetFormatPr defaultColWidth="11.421875" defaultRowHeight="15"/>
  <cols>
    <col min="1" max="1" width="19.8515625" style="4" customWidth="1"/>
    <col min="2" max="2" width="12.7109375" style="4" customWidth="1"/>
    <col min="3" max="3" width="14.421875" style="4" customWidth="1"/>
    <col min="4" max="4" width="13.8515625" style="4" customWidth="1"/>
    <col min="5" max="5" width="8.7109375" style="4" customWidth="1"/>
    <col min="6" max="16384" width="11.421875" style="4" customWidth="1"/>
  </cols>
  <sheetData>
    <row r="1" spans="1:5" ht="12">
      <c r="A1" s="438" t="s">
        <v>53</v>
      </c>
      <c r="B1" s="438"/>
      <c r="C1" s="438"/>
      <c r="D1" s="438"/>
      <c r="E1" s="438"/>
    </row>
    <row r="3" spans="1:5" ht="12">
      <c r="A3" s="440" t="s">
        <v>54</v>
      </c>
      <c r="B3" s="439" t="s">
        <v>55</v>
      </c>
      <c r="C3" s="439"/>
      <c r="D3" s="439"/>
      <c r="E3" s="439"/>
    </row>
    <row r="4" spans="1:5" ht="24">
      <c r="A4" s="440"/>
      <c r="B4" s="101" t="s">
        <v>56</v>
      </c>
      <c r="C4" s="101" t="s">
        <v>57</v>
      </c>
      <c r="D4" s="101" t="s">
        <v>58</v>
      </c>
      <c r="E4" s="101" t="s">
        <v>59</v>
      </c>
    </row>
    <row r="5" spans="1:5" ht="12">
      <c r="A5" s="19" t="s">
        <v>60</v>
      </c>
      <c r="B5" s="102">
        <v>25000</v>
      </c>
      <c r="C5" s="102">
        <v>25000</v>
      </c>
      <c r="D5" s="102">
        <f>SUM(B5:C5)</f>
        <v>50000</v>
      </c>
      <c r="E5" s="103">
        <f>(D5*E6)/D6</f>
        <v>0.7481184820177256</v>
      </c>
    </row>
    <row r="6" spans="1:5" ht="12">
      <c r="A6" s="19" t="s">
        <v>61</v>
      </c>
      <c r="B6" s="102">
        <f>+B7-B5</f>
        <v>14550</v>
      </c>
      <c r="C6" s="102">
        <f>+C7-C5</f>
        <v>2284.333333333332</v>
      </c>
      <c r="D6" s="102">
        <f>SUM(B6:C6)</f>
        <v>16834.333333333332</v>
      </c>
      <c r="E6" s="103">
        <f>(D6*E7)/D7</f>
        <v>0.2518815179822746</v>
      </c>
    </row>
    <row r="7" spans="1:5" ht="12">
      <c r="A7" s="57" t="s">
        <v>58</v>
      </c>
      <c r="B7" s="58">
        <f>'INVERSION TOTAL'!E44</f>
        <v>39550</v>
      </c>
      <c r="C7" s="58">
        <f>'INVERSION TOTAL'!E52</f>
        <v>27284.333333333332</v>
      </c>
      <c r="D7" s="58">
        <f>SUM(B7:C7)</f>
        <v>66834.33333333333</v>
      </c>
      <c r="E7" s="104">
        <v>1</v>
      </c>
    </row>
    <row r="8" ht="12">
      <c r="A8" s="4" t="s">
        <v>52</v>
      </c>
    </row>
    <row r="9" ht="12">
      <c r="D9" s="105"/>
    </row>
    <row r="15" ht="12">
      <c r="E15" s="106"/>
    </row>
  </sheetData>
  <sheetProtection/>
  <mergeCells count="3">
    <mergeCell ref="A1:E1"/>
    <mergeCell ref="B3:E3"/>
    <mergeCell ref="A3: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I39"/>
  <sheetViews>
    <sheetView showGridLines="0" zoomScalePageLayoutView="0" workbookViewId="0" topLeftCell="A1">
      <selection activeCell="G10" sqref="G10"/>
    </sheetView>
  </sheetViews>
  <sheetFormatPr defaultColWidth="11.421875" defaultRowHeight="15"/>
  <cols>
    <col min="1" max="1" width="11.421875" style="4" customWidth="1"/>
    <col min="2" max="2" width="12.28125" style="4" customWidth="1"/>
    <col min="3" max="3" width="12.140625" style="4" bestFit="1" customWidth="1"/>
    <col min="4" max="6" width="11.57421875" style="4" bestFit="1" customWidth="1"/>
    <col min="7" max="7" width="14.57421875" style="4" customWidth="1"/>
    <col min="8" max="8" width="12.7109375" style="4" customWidth="1"/>
    <col min="9" max="16384" width="11.421875" style="4" customWidth="1"/>
  </cols>
  <sheetData>
    <row r="1" ht="12">
      <c r="B1" s="4" t="s">
        <v>472</v>
      </c>
    </row>
    <row r="2" spans="2:6" ht="12">
      <c r="B2" s="441" t="s">
        <v>61</v>
      </c>
      <c r="C2" s="441"/>
      <c r="D2" s="87"/>
      <c r="E2" s="88"/>
      <c r="F2" s="88"/>
    </row>
    <row r="3" spans="2:6" ht="12">
      <c r="B3" s="89" t="s">
        <v>62</v>
      </c>
      <c r="C3" s="297">
        <f>+FINANCIAMIENTO!D6</f>
        <v>16834.333333333332</v>
      </c>
      <c r="D3" s="90"/>
      <c r="E3" s="91"/>
      <c r="F3" s="91"/>
    </row>
    <row r="4" spans="2:6" ht="12">
      <c r="B4" s="89" t="s">
        <v>63</v>
      </c>
      <c r="C4" s="298">
        <v>0.15</v>
      </c>
      <c r="D4" s="92"/>
      <c r="E4" s="91"/>
      <c r="F4" s="91"/>
    </row>
    <row r="5" spans="2:8" ht="12">
      <c r="B5" s="89" t="s">
        <v>64</v>
      </c>
      <c r="C5" s="299">
        <v>24</v>
      </c>
      <c r="D5" s="92"/>
      <c r="E5" s="93"/>
      <c r="F5" s="91"/>
      <c r="G5" s="94" t="s">
        <v>65</v>
      </c>
      <c r="H5" s="95" t="s">
        <v>66</v>
      </c>
    </row>
    <row r="6" spans="2:6" ht="12">
      <c r="B6" s="89" t="s">
        <v>67</v>
      </c>
      <c r="C6" s="300">
        <v>0.638</v>
      </c>
      <c r="D6" s="92"/>
      <c r="E6" s="93"/>
      <c r="F6" s="91"/>
    </row>
    <row r="7" spans="2:8" ht="12">
      <c r="B7" s="89" t="s">
        <v>68</v>
      </c>
      <c r="C7" s="299">
        <f>(((1+(C4))^(1/C5))-1)*100</f>
        <v>0.5840403304546715</v>
      </c>
      <c r="D7" s="92"/>
      <c r="E7" s="93"/>
      <c r="F7" s="91"/>
      <c r="G7" s="94" t="s">
        <v>65</v>
      </c>
      <c r="H7" s="96">
        <f>((1+(C4/100))^(1/12))-1</f>
        <v>0.00012491414476678564</v>
      </c>
    </row>
    <row r="8" spans="2:8" ht="12">
      <c r="B8" s="89" t="s">
        <v>69</v>
      </c>
      <c r="C8" s="301">
        <f>(((1+(C6/100))^(1/C5))-1)*100</f>
        <v>0.02650240273547322</v>
      </c>
      <c r="D8" s="92"/>
      <c r="E8" s="93"/>
      <c r="F8" s="91"/>
      <c r="G8" s="97" t="s">
        <v>65</v>
      </c>
      <c r="H8" s="278">
        <f>H7*100</f>
        <v>0.012491414476678564</v>
      </c>
    </row>
    <row r="9" spans="2:6" ht="12">
      <c r="B9" s="89" t="s">
        <v>70</v>
      </c>
      <c r="C9" s="302">
        <f>(SUM(C7:C8))/100</f>
        <v>0.006105427331901447</v>
      </c>
      <c r="D9" s="92"/>
      <c r="E9" s="93"/>
      <c r="F9" s="91"/>
    </row>
    <row r="10" spans="2:6" ht="12">
      <c r="B10" s="89" t="s">
        <v>71</v>
      </c>
      <c r="C10" s="303">
        <f>C3*(((C9*((1+C9)^C5)))/(((1+C9)^C5)-1))</f>
        <v>756.2108301859543</v>
      </c>
      <c r="D10" s="92"/>
      <c r="E10" s="93"/>
      <c r="F10" s="91"/>
    </row>
    <row r="11" spans="3:6" ht="12">
      <c r="C11" s="98"/>
      <c r="D11" s="92"/>
      <c r="E11" s="93"/>
      <c r="F11" s="91"/>
    </row>
    <row r="12" spans="2:6" ht="12">
      <c r="B12" s="99" t="s">
        <v>72</v>
      </c>
      <c r="C12" s="99"/>
      <c r="D12" s="99"/>
      <c r="E12" s="99"/>
      <c r="F12" s="99"/>
    </row>
    <row r="13" spans="2:6" ht="12">
      <c r="B13" s="99"/>
      <c r="C13" s="99"/>
      <c r="D13" s="99"/>
      <c r="E13" s="99"/>
      <c r="F13" s="99"/>
    </row>
    <row r="14" spans="2:9" ht="12">
      <c r="B14" s="100" t="s">
        <v>73</v>
      </c>
      <c r="C14" s="100" t="s">
        <v>74</v>
      </c>
      <c r="D14" s="100" t="s">
        <v>75</v>
      </c>
      <c r="E14" s="100" t="s">
        <v>76</v>
      </c>
      <c r="F14" s="100" t="s">
        <v>71</v>
      </c>
      <c r="H14" s="442" t="s">
        <v>77</v>
      </c>
      <c r="I14" s="445" t="s">
        <v>442</v>
      </c>
    </row>
    <row r="15" spans="2:9" ht="12">
      <c r="B15" s="10">
        <v>0</v>
      </c>
      <c r="C15" s="354">
        <f>C3</f>
        <v>16834.333333333332</v>
      </c>
      <c r="D15" s="355">
        <v>0</v>
      </c>
      <c r="E15" s="355">
        <v>0</v>
      </c>
      <c r="F15" s="355">
        <v>0</v>
      </c>
      <c r="H15" s="443"/>
      <c r="I15" s="446"/>
    </row>
    <row r="16" spans="2:9" ht="12">
      <c r="B16" s="10">
        <v>1</v>
      </c>
      <c r="C16" s="354">
        <f>C15-D16</f>
        <v>16180.903301995051</v>
      </c>
      <c r="D16" s="355">
        <f>F16-(C15*$C$9)</f>
        <v>653.4300313382813</v>
      </c>
      <c r="E16" s="355">
        <f>F16-D16</f>
        <v>102.78079884767294</v>
      </c>
      <c r="F16" s="355">
        <f aca="true" t="shared" si="0" ref="F16:F39">$C$10</f>
        <v>756.2108301859543</v>
      </c>
      <c r="H16" s="443"/>
      <c r="I16" s="447" t="s">
        <v>443</v>
      </c>
    </row>
    <row r="17" spans="2:9" ht="12">
      <c r="B17" s="10">
        <f>B16+1</f>
        <v>2</v>
      </c>
      <c r="C17" s="354">
        <f aca="true" t="shared" si="1" ref="C17:C27">C16-D17</f>
        <v>15523.483801083952</v>
      </c>
      <c r="D17" s="355">
        <f aca="true" t="shared" si="2" ref="D17:D39">F17-(C16*$C$9)</f>
        <v>657.4195009110992</v>
      </c>
      <c r="E17" s="355">
        <f aca="true" t="shared" si="3" ref="E17:E27">F17-D17</f>
        <v>98.791329274855</v>
      </c>
      <c r="F17" s="355">
        <f t="shared" si="0"/>
        <v>756.2108301859543</v>
      </c>
      <c r="H17" s="444"/>
      <c r="I17" s="448"/>
    </row>
    <row r="18" spans="2:9" ht="12">
      <c r="B18" s="10">
        <f aca="true" t="shared" si="4" ref="B18:B39">B17+1</f>
        <v>3</v>
      </c>
      <c r="C18" s="354">
        <f t="shared" si="1"/>
        <v>14862.050473183464</v>
      </c>
      <c r="D18" s="355">
        <f t="shared" si="2"/>
        <v>661.4333279004869</v>
      </c>
      <c r="E18" s="355">
        <f t="shared" si="3"/>
        <v>94.77750228546734</v>
      </c>
      <c r="F18" s="355">
        <f t="shared" si="0"/>
        <v>756.2108301859543</v>
      </c>
      <c r="H18" s="93"/>
      <c r="I18" s="93"/>
    </row>
    <row r="19" spans="2:9" ht="12">
      <c r="B19" s="10">
        <f t="shared" si="4"/>
        <v>4</v>
      </c>
      <c r="C19" s="354">
        <f t="shared" si="1"/>
        <v>14196.578812164584</v>
      </c>
      <c r="D19" s="355">
        <f t="shared" si="2"/>
        <v>665.4716610188812</v>
      </c>
      <c r="E19" s="355">
        <f t="shared" si="3"/>
        <v>90.7391691670731</v>
      </c>
      <c r="F19" s="355">
        <f t="shared" si="0"/>
        <v>756.2108301859543</v>
      </c>
      <c r="H19" s="93" t="s">
        <v>78</v>
      </c>
      <c r="I19" s="93"/>
    </row>
    <row r="20" spans="2:9" ht="12">
      <c r="B20" s="10">
        <f t="shared" si="4"/>
        <v>5</v>
      </c>
      <c r="C20" s="354">
        <f t="shared" si="1"/>
        <v>13527.044162277913</v>
      </c>
      <c r="D20" s="355">
        <f t="shared" si="2"/>
        <v>669.5346498866716</v>
      </c>
      <c r="E20" s="355">
        <f t="shared" si="3"/>
        <v>86.67618029928269</v>
      </c>
      <c r="F20" s="355">
        <f t="shared" si="0"/>
        <v>756.2108301859543</v>
      </c>
      <c r="H20" s="93" t="s">
        <v>79</v>
      </c>
      <c r="I20" s="93"/>
    </row>
    <row r="21" spans="2:8" ht="12">
      <c r="B21" s="10">
        <f t="shared" si="4"/>
        <v>6</v>
      </c>
      <c r="C21" s="354">
        <f t="shared" si="1"/>
        <v>12853.421717240168</v>
      </c>
      <c r="D21" s="355">
        <f t="shared" si="2"/>
        <v>673.6224450377448</v>
      </c>
      <c r="E21" s="355">
        <f t="shared" si="3"/>
        <v>82.58838514820945</v>
      </c>
      <c r="F21" s="355">
        <f t="shared" si="0"/>
        <v>756.2108301859543</v>
      </c>
      <c r="H21" s="4" t="s">
        <v>80</v>
      </c>
    </row>
    <row r="22" spans="2:8" ht="12">
      <c r="B22" s="10">
        <f t="shared" si="4"/>
        <v>7</v>
      </c>
      <c r="C22" s="354">
        <f t="shared" si="1"/>
        <v>12175.686519315108</v>
      </c>
      <c r="D22" s="355">
        <f t="shared" si="2"/>
        <v>677.7351979250604</v>
      </c>
      <c r="E22" s="355">
        <f>F22-D22</f>
        <v>78.4756322608938</v>
      </c>
      <c r="F22" s="355">
        <f t="shared" si="0"/>
        <v>756.2108301859543</v>
      </c>
      <c r="H22" s="4" t="s">
        <v>81</v>
      </c>
    </row>
    <row r="23" spans="2:6" ht="12">
      <c r="B23" s="10">
        <f t="shared" si="4"/>
        <v>8</v>
      </c>
      <c r="C23" s="354">
        <f t="shared" si="1"/>
        <v>11493.813458388844</v>
      </c>
      <c r="D23" s="355">
        <f t="shared" si="2"/>
        <v>681.8730609262637</v>
      </c>
      <c r="E23" s="355">
        <f t="shared" si="3"/>
        <v>74.3377692596905</v>
      </c>
      <c r="F23" s="355">
        <f t="shared" si="0"/>
        <v>756.2108301859543</v>
      </c>
    </row>
    <row r="24" spans="2:6" ht="12">
      <c r="B24" s="10">
        <f t="shared" si="4"/>
        <v>9</v>
      </c>
      <c r="C24" s="354">
        <f t="shared" si="1"/>
        <v>10807.777271039515</v>
      </c>
      <c r="D24" s="355">
        <f t="shared" si="2"/>
        <v>686.0361873493302</v>
      </c>
      <c r="E24" s="355">
        <f t="shared" si="3"/>
        <v>70.174642836624</v>
      </c>
      <c r="F24" s="355">
        <f t="shared" si="0"/>
        <v>756.2108301859543</v>
      </c>
    </row>
    <row r="25" spans="2:6" ht="12">
      <c r="B25" s="10">
        <f t="shared" si="4"/>
        <v>10</v>
      </c>
      <c r="C25" s="354">
        <f t="shared" si="1"/>
        <v>10117.552539601269</v>
      </c>
      <c r="D25" s="355">
        <f t="shared" si="2"/>
        <v>690.2247314382464</v>
      </c>
      <c r="E25" s="355">
        <f t="shared" si="3"/>
        <v>65.98609874770784</v>
      </c>
      <c r="F25" s="355">
        <f t="shared" si="0"/>
        <v>756.2108301859543</v>
      </c>
    </row>
    <row r="26" spans="2:6" ht="12">
      <c r="B26" s="10">
        <f t="shared" si="4"/>
        <v>11</v>
      </c>
      <c r="C26" s="354">
        <f t="shared" si="1"/>
        <v>9423.113691222545</v>
      </c>
      <c r="D26" s="355">
        <f t="shared" si="2"/>
        <v>694.4388483787237</v>
      </c>
      <c r="E26" s="355">
        <f>F26-D26</f>
        <v>61.77198180723053</v>
      </c>
      <c r="F26" s="355">
        <f t="shared" si="0"/>
        <v>756.2108301859543</v>
      </c>
    </row>
    <row r="27" spans="2:6" ht="12">
      <c r="B27" s="10">
        <f t="shared" si="4"/>
        <v>12</v>
      </c>
      <c r="C27" s="354">
        <f t="shared" si="1"/>
        <v>8724.434996918595</v>
      </c>
      <c r="D27" s="355">
        <f t="shared" si="2"/>
        <v>698.6786943039494</v>
      </c>
      <c r="E27" s="355">
        <f t="shared" si="3"/>
        <v>57.53213588200481</v>
      </c>
      <c r="F27" s="355">
        <f t="shared" si="0"/>
        <v>756.2108301859543</v>
      </c>
    </row>
    <row r="28" spans="2:6" ht="12">
      <c r="B28" s="10">
        <f t="shared" si="4"/>
        <v>13</v>
      </c>
      <c r="C28" s="354">
        <f aca="true" t="shared" si="5" ref="C28:C39">C27-D28</f>
        <v>8021.490570618225</v>
      </c>
      <c r="D28" s="355">
        <f t="shared" si="2"/>
        <v>702.94442630037</v>
      </c>
      <c r="E28" s="355">
        <f aca="true" t="shared" si="6" ref="E28:E39">F28-D28</f>
        <v>53.26640388558428</v>
      </c>
      <c r="F28" s="355">
        <f t="shared" si="0"/>
        <v>756.2108301859543</v>
      </c>
    </row>
    <row r="29" spans="2:6" ht="12">
      <c r="B29" s="10">
        <f t="shared" si="4"/>
        <v>14</v>
      </c>
      <c r="C29" s="354">
        <f t="shared" si="5"/>
        <v>7314.2543682047135</v>
      </c>
      <c r="D29" s="355">
        <f t="shared" si="2"/>
        <v>707.236202413512</v>
      </c>
      <c r="E29" s="355">
        <f t="shared" si="6"/>
        <v>48.974627772442204</v>
      </c>
      <c r="F29" s="355">
        <f t="shared" si="0"/>
        <v>756.2108301859543</v>
      </c>
    </row>
    <row r="30" spans="2:6" ht="12">
      <c r="B30" s="10">
        <f t="shared" si="4"/>
        <v>15</v>
      </c>
      <c r="C30" s="354">
        <f t="shared" si="5"/>
        <v>6602.7001865508755</v>
      </c>
      <c r="D30" s="355">
        <f t="shared" si="2"/>
        <v>711.5541816538376</v>
      </c>
      <c r="E30" s="355">
        <f t="shared" si="6"/>
        <v>44.656648532116606</v>
      </c>
      <c r="F30" s="355">
        <f t="shared" si="0"/>
        <v>756.2108301859543</v>
      </c>
    </row>
    <row r="31" spans="2:6" ht="12">
      <c r="B31" s="10">
        <f t="shared" si="4"/>
        <v>16</v>
      </c>
      <c r="C31" s="354">
        <f t="shared" si="5"/>
        <v>5886.80166254824</v>
      </c>
      <c r="D31" s="355">
        <f t="shared" si="2"/>
        <v>715.8985240026358</v>
      </c>
      <c r="E31" s="355">
        <f t="shared" si="6"/>
        <v>40.31230618331847</v>
      </c>
      <c r="F31" s="355">
        <f t="shared" si="0"/>
        <v>756.2108301859543</v>
      </c>
    </row>
    <row r="32" spans="2:6" ht="12">
      <c r="B32" s="10">
        <f t="shared" si="4"/>
        <v>17</v>
      </c>
      <c r="C32" s="354">
        <f t="shared" si="5"/>
        <v>5166.53227213029</v>
      </c>
      <c r="D32" s="355">
        <f t="shared" si="2"/>
        <v>720.2693904179494</v>
      </c>
      <c r="E32" s="355">
        <f t="shared" si="6"/>
        <v>35.9414397680049</v>
      </c>
      <c r="F32" s="355">
        <f t="shared" si="0"/>
        <v>756.2108301859543</v>
      </c>
    </row>
    <row r="33" spans="2:6" ht="12">
      <c r="B33" s="10">
        <f t="shared" si="4"/>
        <v>18</v>
      </c>
      <c r="C33" s="354">
        <f t="shared" si="5"/>
        <v>4441.865329289751</v>
      </c>
      <c r="D33" s="355">
        <f t="shared" si="2"/>
        <v>724.6669428405391</v>
      </c>
      <c r="E33" s="355">
        <f t="shared" si="6"/>
        <v>31.5438873454151</v>
      </c>
      <c r="F33" s="355">
        <f t="shared" si="0"/>
        <v>756.2108301859543</v>
      </c>
    </row>
    <row r="34" spans="2:6" ht="12">
      <c r="B34" s="10">
        <f t="shared" si="4"/>
        <v>19</v>
      </c>
      <c r="C34" s="354">
        <f t="shared" si="5"/>
        <v>3712.7739850898674</v>
      </c>
      <c r="D34" s="355">
        <f t="shared" si="2"/>
        <v>729.0913441998832</v>
      </c>
      <c r="E34" s="355">
        <f t="shared" si="6"/>
        <v>27.119485986071027</v>
      </c>
      <c r="F34" s="355">
        <f t="shared" si="0"/>
        <v>756.2108301859543</v>
      </c>
    </row>
    <row r="35" spans="2:6" ht="12">
      <c r="B35" s="10">
        <f t="shared" si="4"/>
        <v>20</v>
      </c>
      <c r="C35" s="354">
        <f t="shared" si="5"/>
        <v>2979.2312266696536</v>
      </c>
      <c r="D35" s="355">
        <f t="shared" si="2"/>
        <v>733.5427584202139</v>
      </c>
      <c r="E35" s="355">
        <f t="shared" si="6"/>
        <v>22.668071765740365</v>
      </c>
      <c r="F35" s="355">
        <f t="shared" si="0"/>
        <v>756.2108301859543</v>
      </c>
    </row>
    <row r="36" spans="2:6" ht="12">
      <c r="B36" s="10">
        <f t="shared" si="4"/>
        <v>21</v>
      </c>
      <c r="C36" s="354">
        <f t="shared" si="5"/>
        <v>2241.2098762430624</v>
      </c>
      <c r="D36" s="355">
        <f t="shared" si="2"/>
        <v>738.0213504265911</v>
      </c>
      <c r="E36" s="355">
        <f t="shared" si="6"/>
        <v>18.189479759363167</v>
      </c>
      <c r="F36" s="355">
        <f t="shared" si="0"/>
        <v>756.2108301859543</v>
      </c>
    </row>
    <row r="37" spans="2:6" ht="12">
      <c r="B37" s="10">
        <f t="shared" si="4"/>
        <v>22</v>
      </c>
      <c r="C37" s="354">
        <f t="shared" si="5"/>
        <v>1498.6825900920498</v>
      </c>
      <c r="D37" s="355">
        <f t="shared" si="2"/>
        <v>742.5272861510124</v>
      </c>
      <c r="E37" s="355">
        <f t="shared" si="6"/>
        <v>13.68354403494186</v>
      </c>
      <c r="F37" s="355">
        <f t="shared" si="0"/>
        <v>756.2108301859543</v>
      </c>
    </row>
    <row r="38" spans="2:6" ht="12">
      <c r="B38" s="10">
        <f t="shared" si="4"/>
        <v>23</v>
      </c>
      <c r="C38" s="354">
        <f t="shared" si="5"/>
        <v>751.6218575534884</v>
      </c>
      <c r="D38" s="355">
        <f t="shared" si="2"/>
        <v>747.0607325385614</v>
      </c>
      <c r="E38" s="355">
        <f t="shared" si="6"/>
        <v>9.15009764739284</v>
      </c>
      <c r="F38" s="355">
        <f t="shared" si="0"/>
        <v>756.2108301859543</v>
      </c>
    </row>
    <row r="39" spans="2:6" ht="12">
      <c r="B39" s="10">
        <f t="shared" si="4"/>
        <v>24</v>
      </c>
      <c r="C39" s="354">
        <f t="shared" si="5"/>
        <v>-1.042508301907219E-10</v>
      </c>
      <c r="D39" s="355">
        <f t="shared" si="2"/>
        <v>751.6218575535927</v>
      </c>
      <c r="E39" s="355">
        <f t="shared" si="6"/>
        <v>4.5889726323615605</v>
      </c>
      <c r="F39" s="355">
        <f t="shared" si="0"/>
        <v>756.2108301859543</v>
      </c>
    </row>
  </sheetData>
  <sheetProtection/>
  <mergeCells count="4">
    <mergeCell ref="B2:C2"/>
    <mergeCell ref="H14:H17"/>
    <mergeCell ref="I14:I15"/>
    <mergeCell ref="I16:I17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3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B15" sqref="B15"/>
    </sheetView>
  </sheetViews>
  <sheetFormatPr defaultColWidth="11.421875" defaultRowHeight="15"/>
  <cols>
    <col min="1" max="1" width="29.57421875" style="4" customWidth="1"/>
    <col min="2" max="26" width="9.7109375" style="65" bestFit="1" customWidth="1"/>
    <col min="27" max="27" width="15.8515625" style="4" customWidth="1"/>
    <col min="28" max="16384" width="11.421875" style="4" customWidth="1"/>
  </cols>
  <sheetData>
    <row r="1" spans="1:4" ht="12">
      <c r="A1" s="449" t="s">
        <v>82</v>
      </c>
      <c r="B1" s="449"/>
      <c r="C1" s="449"/>
      <c r="D1" s="64"/>
    </row>
    <row r="2" spans="2:25" ht="12.75" thickBot="1">
      <c r="B2" s="308" t="s">
        <v>473</v>
      </c>
      <c r="C2" s="308" t="s">
        <v>474</v>
      </c>
      <c r="D2" s="308" t="s">
        <v>475</v>
      </c>
      <c r="E2" s="308" t="s">
        <v>476</v>
      </c>
      <c r="F2" s="308" t="s">
        <v>477</v>
      </c>
      <c r="G2" s="308" t="s">
        <v>478</v>
      </c>
      <c r="H2" s="308" t="s">
        <v>479</v>
      </c>
      <c r="I2" s="308" t="s">
        <v>480</v>
      </c>
      <c r="J2" s="308" t="s">
        <v>481</v>
      </c>
      <c r="K2" s="308" t="s">
        <v>482</v>
      </c>
      <c r="L2" s="308" t="s">
        <v>483</v>
      </c>
      <c r="M2" s="308" t="s">
        <v>484</v>
      </c>
      <c r="N2" s="215" t="s">
        <v>473</v>
      </c>
      <c r="O2" s="215" t="s">
        <v>474</v>
      </c>
      <c r="P2" s="215" t="s">
        <v>475</v>
      </c>
      <c r="Q2" s="215" t="s">
        <v>476</v>
      </c>
      <c r="R2" s="215" t="s">
        <v>477</v>
      </c>
      <c r="S2" s="215" t="s">
        <v>478</v>
      </c>
      <c r="T2" s="215" t="s">
        <v>479</v>
      </c>
      <c r="U2" s="215" t="s">
        <v>480</v>
      </c>
      <c r="V2" s="215" t="s">
        <v>481</v>
      </c>
      <c r="W2" s="215" t="s">
        <v>482</v>
      </c>
      <c r="X2" s="215" t="s">
        <v>483</v>
      </c>
      <c r="Y2" s="215" t="s">
        <v>484</v>
      </c>
    </row>
    <row r="3" spans="1:26" s="73" customFormat="1" ht="12.75" thickBot="1">
      <c r="A3" s="66" t="s">
        <v>83</v>
      </c>
      <c r="B3" s="304" t="s">
        <v>84</v>
      </c>
      <c r="C3" s="304" t="s">
        <v>85</v>
      </c>
      <c r="D3" s="304" t="s">
        <v>86</v>
      </c>
      <c r="E3" s="305" t="s">
        <v>87</v>
      </c>
      <c r="F3" s="305" t="s">
        <v>88</v>
      </c>
      <c r="G3" s="305" t="s">
        <v>89</v>
      </c>
      <c r="H3" s="306" t="s">
        <v>90</v>
      </c>
      <c r="I3" s="306" t="s">
        <v>91</v>
      </c>
      <c r="J3" s="306" t="s">
        <v>92</v>
      </c>
      <c r="K3" s="307" t="s">
        <v>93</v>
      </c>
      <c r="L3" s="307" t="s">
        <v>94</v>
      </c>
      <c r="M3" s="307" t="s">
        <v>95</v>
      </c>
      <c r="N3" s="67" t="s">
        <v>96</v>
      </c>
      <c r="O3" s="67" t="s">
        <v>97</v>
      </c>
      <c r="P3" s="67" t="s">
        <v>98</v>
      </c>
      <c r="Q3" s="68" t="s">
        <v>99</v>
      </c>
      <c r="R3" s="68" t="s">
        <v>100</v>
      </c>
      <c r="S3" s="68" t="s">
        <v>101</v>
      </c>
      <c r="T3" s="69" t="s">
        <v>102</v>
      </c>
      <c r="U3" s="69" t="s">
        <v>103</v>
      </c>
      <c r="V3" s="69" t="s">
        <v>104</v>
      </c>
      <c r="W3" s="70" t="s">
        <v>105</v>
      </c>
      <c r="X3" s="70" t="s">
        <v>106</v>
      </c>
      <c r="Y3" s="71" t="s">
        <v>107</v>
      </c>
      <c r="Z3" s="72" t="s">
        <v>58</v>
      </c>
    </row>
    <row r="4" spans="1:26" s="73" customFormat="1" ht="12">
      <c r="A4" s="74" t="s">
        <v>500</v>
      </c>
      <c r="B4" s="75">
        <v>2</v>
      </c>
      <c r="C4" s="75">
        <v>3</v>
      </c>
      <c r="D4" s="75">
        <f>C4</f>
        <v>3</v>
      </c>
      <c r="E4" s="76">
        <v>3</v>
      </c>
      <c r="F4" s="76">
        <f>E4</f>
        <v>3</v>
      </c>
      <c r="G4" s="76">
        <f>D4</f>
        <v>3</v>
      </c>
      <c r="H4" s="76">
        <v>3</v>
      </c>
      <c r="I4" s="76">
        <f aca="true" t="shared" si="0" ref="I4:M6">H4</f>
        <v>3</v>
      </c>
      <c r="J4" s="76">
        <f t="shared" si="0"/>
        <v>3</v>
      </c>
      <c r="K4" s="76">
        <f t="shared" si="0"/>
        <v>3</v>
      </c>
      <c r="L4" s="76">
        <f t="shared" si="0"/>
        <v>3</v>
      </c>
      <c r="M4" s="76">
        <v>3</v>
      </c>
      <c r="N4" s="75">
        <v>2</v>
      </c>
      <c r="O4" s="75">
        <v>3</v>
      </c>
      <c r="P4" s="75">
        <f>O4</f>
        <v>3</v>
      </c>
      <c r="Q4" s="76">
        <v>3</v>
      </c>
      <c r="R4" s="76">
        <f>Q4</f>
        <v>3</v>
      </c>
      <c r="S4" s="76">
        <f>P4</f>
        <v>3</v>
      </c>
      <c r="T4" s="76">
        <v>3</v>
      </c>
      <c r="U4" s="76">
        <f>T4</f>
        <v>3</v>
      </c>
      <c r="V4" s="76">
        <f>U4</f>
        <v>3</v>
      </c>
      <c r="W4" s="76">
        <f>V4</f>
        <v>3</v>
      </c>
      <c r="X4" s="76">
        <f>W4</f>
        <v>3</v>
      </c>
      <c r="Y4" s="76">
        <v>3</v>
      </c>
      <c r="Z4" s="77">
        <f aca="true" t="shared" si="1" ref="Z4:Z15">SUM(B4:Y4)</f>
        <v>70</v>
      </c>
    </row>
    <row r="5" spans="1:26" s="73" customFormat="1" ht="12">
      <c r="A5" s="78" t="s">
        <v>358</v>
      </c>
      <c r="B5" s="79">
        <v>4</v>
      </c>
      <c r="C5" s="79">
        <v>4</v>
      </c>
      <c r="D5" s="79">
        <v>4</v>
      </c>
      <c r="E5" s="48">
        <f aca="true" t="shared" si="2" ref="E5:E10">B5</f>
        <v>4</v>
      </c>
      <c r="F5" s="48">
        <f aca="true" t="shared" si="3" ref="F5:F10">E5</f>
        <v>4</v>
      </c>
      <c r="G5" s="48">
        <v>3</v>
      </c>
      <c r="H5" s="48">
        <v>4</v>
      </c>
      <c r="I5" s="48">
        <v>3</v>
      </c>
      <c r="J5" s="48">
        <f t="shared" si="0"/>
        <v>3</v>
      </c>
      <c r="K5" s="48">
        <f t="shared" si="0"/>
        <v>3</v>
      </c>
      <c r="L5" s="48">
        <f t="shared" si="0"/>
        <v>3</v>
      </c>
      <c r="M5" s="48">
        <v>3</v>
      </c>
      <c r="N5" s="79">
        <v>4</v>
      </c>
      <c r="O5" s="79">
        <v>4</v>
      </c>
      <c r="P5" s="79">
        <v>4</v>
      </c>
      <c r="Q5" s="48">
        <f>N5</f>
        <v>4</v>
      </c>
      <c r="R5" s="48">
        <f>Q5</f>
        <v>4</v>
      </c>
      <c r="S5" s="48">
        <v>3</v>
      </c>
      <c r="T5" s="48">
        <v>4</v>
      </c>
      <c r="U5" s="48">
        <v>3</v>
      </c>
      <c r="V5" s="48">
        <f aca="true" t="shared" si="4" ref="V5:X6">U5</f>
        <v>3</v>
      </c>
      <c r="W5" s="48">
        <f t="shared" si="4"/>
        <v>3</v>
      </c>
      <c r="X5" s="48">
        <f t="shared" si="4"/>
        <v>3</v>
      </c>
      <c r="Y5" s="48">
        <v>3</v>
      </c>
      <c r="Z5" s="80">
        <f t="shared" si="1"/>
        <v>84</v>
      </c>
    </row>
    <row r="6" spans="1:26" s="73" customFormat="1" ht="12">
      <c r="A6" s="78" t="s">
        <v>359</v>
      </c>
      <c r="B6" s="79">
        <v>3</v>
      </c>
      <c r="C6" s="79">
        <v>3</v>
      </c>
      <c r="D6" s="79">
        <f>C6</f>
        <v>3</v>
      </c>
      <c r="E6" s="48">
        <f t="shared" si="2"/>
        <v>3</v>
      </c>
      <c r="F6" s="48">
        <v>2</v>
      </c>
      <c r="G6" s="48">
        <f>D6</f>
        <v>3</v>
      </c>
      <c r="H6" s="48">
        <f>F6</f>
        <v>2</v>
      </c>
      <c r="I6" s="48">
        <f t="shared" si="0"/>
        <v>2</v>
      </c>
      <c r="J6" s="48">
        <f t="shared" si="0"/>
        <v>2</v>
      </c>
      <c r="K6" s="48">
        <f t="shared" si="0"/>
        <v>2</v>
      </c>
      <c r="L6" s="48">
        <f t="shared" si="0"/>
        <v>2</v>
      </c>
      <c r="M6" s="48">
        <f t="shared" si="0"/>
        <v>2</v>
      </c>
      <c r="N6" s="79">
        <v>3</v>
      </c>
      <c r="O6" s="79">
        <v>3</v>
      </c>
      <c r="P6" s="79">
        <f>O6</f>
        <v>3</v>
      </c>
      <c r="Q6" s="48">
        <f>N6</f>
        <v>3</v>
      </c>
      <c r="R6" s="48">
        <v>2</v>
      </c>
      <c r="S6" s="48">
        <f>P6</f>
        <v>3</v>
      </c>
      <c r="T6" s="48">
        <f>R6</f>
        <v>2</v>
      </c>
      <c r="U6" s="48">
        <f>T6</f>
        <v>2</v>
      </c>
      <c r="V6" s="48">
        <f t="shared" si="4"/>
        <v>2</v>
      </c>
      <c r="W6" s="48">
        <f t="shared" si="4"/>
        <v>2</v>
      </c>
      <c r="X6" s="48">
        <f t="shared" si="4"/>
        <v>2</v>
      </c>
      <c r="Y6" s="48">
        <f>X6</f>
        <v>2</v>
      </c>
      <c r="Z6" s="80">
        <f t="shared" si="1"/>
        <v>58</v>
      </c>
    </row>
    <row r="7" spans="1:26" s="73" customFormat="1" ht="12">
      <c r="A7" s="78" t="s">
        <v>360</v>
      </c>
      <c r="B7" s="79">
        <v>1</v>
      </c>
      <c r="C7" s="79">
        <v>1</v>
      </c>
      <c r="D7" s="79">
        <v>1</v>
      </c>
      <c r="E7" s="48">
        <v>1</v>
      </c>
      <c r="F7" s="48">
        <v>1</v>
      </c>
      <c r="G7" s="48">
        <v>1</v>
      </c>
      <c r="H7" s="48">
        <v>1</v>
      </c>
      <c r="I7" s="48">
        <v>2</v>
      </c>
      <c r="J7" s="48">
        <v>2</v>
      </c>
      <c r="K7" s="48">
        <v>2</v>
      </c>
      <c r="L7" s="48">
        <v>3</v>
      </c>
      <c r="M7" s="48">
        <v>3</v>
      </c>
      <c r="N7" s="79">
        <v>1</v>
      </c>
      <c r="O7" s="79">
        <v>1</v>
      </c>
      <c r="P7" s="79">
        <v>1</v>
      </c>
      <c r="Q7" s="48">
        <v>1</v>
      </c>
      <c r="R7" s="48">
        <v>1</v>
      </c>
      <c r="S7" s="48">
        <v>1</v>
      </c>
      <c r="T7" s="48">
        <v>1</v>
      </c>
      <c r="U7" s="48">
        <v>2</v>
      </c>
      <c r="V7" s="48">
        <v>2</v>
      </c>
      <c r="W7" s="48">
        <v>2</v>
      </c>
      <c r="X7" s="48">
        <v>3</v>
      </c>
      <c r="Y7" s="48">
        <v>3</v>
      </c>
      <c r="Z7" s="80">
        <f t="shared" si="1"/>
        <v>38</v>
      </c>
    </row>
    <row r="8" spans="1:26" s="73" customFormat="1" ht="12">
      <c r="A8" s="78" t="s">
        <v>35</v>
      </c>
      <c r="B8" s="79">
        <v>2</v>
      </c>
      <c r="C8" s="79">
        <v>3</v>
      </c>
      <c r="D8" s="79">
        <f>C8</f>
        <v>3</v>
      </c>
      <c r="E8" s="48">
        <v>3</v>
      </c>
      <c r="F8" s="48">
        <f t="shared" si="3"/>
        <v>3</v>
      </c>
      <c r="G8" s="48">
        <f>D8</f>
        <v>3</v>
      </c>
      <c r="H8" s="48">
        <f>F8</f>
        <v>3</v>
      </c>
      <c r="I8" s="48">
        <f>H8</f>
        <v>3</v>
      </c>
      <c r="J8" s="48">
        <f aca="true" t="shared" si="5" ref="J8:M10">I8</f>
        <v>3</v>
      </c>
      <c r="K8" s="48">
        <f t="shared" si="5"/>
        <v>3</v>
      </c>
      <c r="L8" s="48">
        <f t="shared" si="5"/>
        <v>3</v>
      </c>
      <c r="M8" s="48">
        <f t="shared" si="5"/>
        <v>3</v>
      </c>
      <c r="N8" s="79">
        <v>2</v>
      </c>
      <c r="O8" s="79">
        <v>3</v>
      </c>
      <c r="P8" s="79">
        <f>O8</f>
        <v>3</v>
      </c>
      <c r="Q8" s="48">
        <v>3</v>
      </c>
      <c r="R8" s="48">
        <f>Q8</f>
        <v>3</v>
      </c>
      <c r="S8" s="48">
        <f>P8</f>
        <v>3</v>
      </c>
      <c r="T8" s="48">
        <f>R8</f>
        <v>3</v>
      </c>
      <c r="U8" s="48">
        <f>T8</f>
        <v>3</v>
      </c>
      <c r="V8" s="48">
        <f>U8</f>
        <v>3</v>
      </c>
      <c r="W8" s="48">
        <f>V8</f>
        <v>3</v>
      </c>
      <c r="X8" s="48">
        <f>W8</f>
        <v>3</v>
      </c>
      <c r="Y8" s="48">
        <f>X8</f>
        <v>3</v>
      </c>
      <c r="Z8" s="80">
        <f t="shared" si="1"/>
        <v>70</v>
      </c>
    </row>
    <row r="9" spans="1:26" s="73" customFormat="1" ht="12">
      <c r="A9" s="78" t="s">
        <v>485</v>
      </c>
      <c r="B9" s="79">
        <v>6</v>
      </c>
      <c r="C9" s="79">
        <v>4</v>
      </c>
      <c r="D9" s="79">
        <v>3</v>
      </c>
      <c r="E9" s="48">
        <v>2</v>
      </c>
      <c r="F9" s="48">
        <v>2</v>
      </c>
      <c r="G9" s="48">
        <v>2</v>
      </c>
      <c r="H9" s="48">
        <v>5</v>
      </c>
      <c r="I9" s="48">
        <v>4</v>
      </c>
      <c r="J9" s="48">
        <v>4</v>
      </c>
      <c r="K9" s="48">
        <v>4</v>
      </c>
      <c r="L9" s="48">
        <v>2</v>
      </c>
      <c r="M9" s="48">
        <v>4</v>
      </c>
      <c r="N9" s="79">
        <v>6</v>
      </c>
      <c r="O9" s="79">
        <v>4</v>
      </c>
      <c r="P9" s="79">
        <v>3</v>
      </c>
      <c r="Q9" s="48">
        <v>2</v>
      </c>
      <c r="R9" s="48">
        <v>2</v>
      </c>
      <c r="S9" s="48">
        <v>2</v>
      </c>
      <c r="T9" s="48">
        <v>5</v>
      </c>
      <c r="U9" s="48">
        <v>4</v>
      </c>
      <c r="V9" s="48">
        <v>4</v>
      </c>
      <c r="W9" s="48">
        <v>4</v>
      </c>
      <c r="X9" s="48">
        <v>2</v>
      </c>
      <c r="Y9" s="48">
        <v>4</v>
      </c>
      <c r="Z9" s="80">
        <f t="shared" si="1"/>
        <v>84</v>
      </c>
    </row>
    <row r="10" spans="1:26" s="73" customFormat="1" ht="12">
      <c r="A10" s="78" t="s">
        <v>494</v>
      </c>
      <c r="B10" s="79">
        <v>8</v>
      </c>
      <c r="C10" s="79">
        <v>5</v>
      </c>
      <c r="D10" s="79">
        <f>C10</f>
        <v>5</v>
      </c>
      <c r="E10" s="48">
        <f t="shared" si="2"/>
        <v>8</v>
      </c>
      <c r="F10" s="48">
        <f t="shared" si="3"/>
        <v>8</v>
      </c>
      <c r="G10" s="48">
        <f>D10</f>
        <v>5</v>
      </c>
      <c r="H10" s="48">
        <f>F10</f>
        <v>8</v>
      </c>
      <c r="I10" s="48">
        <f>H10</f>
        <v>8</v>
      </c>
      <c r="J10" s="48">
        <v>5</v>
      </c>
      <c r="K10" s="48">
        <f t="shared" si="5"/>
        <v>5</v>
      </c>
      <c r="L10" s="48">
        <v>5</v>
      </c>
      <c r="M10" s="48">
        <f t="shared" si="5"/>
        <v>5</v>
      </c>
      <c r="N10" s="79">
        <v>8</v>
      </c>
      <c r="O10" s="79">
        <v>5</v>
      </c>
      <c r="P10" s="79">
        <f>O10</f>
        <v>5</v>
      </c>
      <c r="Q10" s="48">
        <f>N10</f>
        <v>8</v>
      </c>
      <c r="R10" s="48">
        <f>Q10</f>
        <v>8</v>
      </c>
      <c r="S10" s="48">
        <f>P10</f>
        <v>5</v>
      </c>
      <c r="T10" s="48">
        <f>R10</f>
        <v>8</v>
      </c>
      <c r="U10" s="48">
        <f>T10</f>
        <v>8</v>
      </c>
      <c r="V10" s="48">
        <v>5</v>
      </c>
      <c r="W10" s="48">
        <f>V10</f>
        <v>5</v>
      </c>
      <c r="X10" s="48">
        <v>5</v>
      </c>
      <c r="Y10" s="48">
        <f>X10</f>
        <v>5</v>
      </c>
      <c r="Z10" s="80">
        <f t="shared" si="1"/>
        <v>150</v>
      </c>
    </row>
    <row r="11" spans="1:26" s="73" customFormat="1" ht="12">
      <c r="A11" s="78" t="s">
        <v>435</v>
      </c>
      <c r="B11" s="79">
        <v>20</v>
      </c>
      <c r="C11" s="79">
        <v>20</v>
      </c>
      <c r="D11" s="79">
        <v>20</v>
      </c>
      <c r="E11" s="48">
        <v>40</v>
      </c>
      <c r="F11" s="48">
        <v>40</v>
      </c>
      <c r="G11" s="48">
        <v>40</v>
      </c>
      <c r="H11" s="48">
        <v>40</v>
      </c>
      <c r="I11" s="48">
        <v>20</v>
      </c>
      <c r="J11" s="48">
        <v>20</v>
      </c>
      <c r="K11" s="48">
        <v>30</v>
      </c>
      <c r="L11" s="48">
        <v>40</v>
      </c>
      <c r="M11" s="48">
        <v>40</v>
      </c>
      <c r="N11" s="79">
        <v>20</v>
      </c>
      <c r="O11" s="79">
        <v>20</v>
      </c>
      <c r="P11" s="79">
        <v>20</v>
      </c>
      <c r="Q11" s="48">
        <v>40</v>
      </c>
      <c r="R11" s="48">
        <v>40</v>
      </c>
      <c r="S11" s="48">
        <v>40</v>
      </c>
      <c r="T11" s="48">
        <v>40</v>
      </c>
      <c r="U11" s="48">
        <v>20</v>
      </c>
      <c r="V11" s="48">
        <v>20</v>
      </c>
      <c r="W11" s="48">
        <v>30</v>
      </c>
      <c r="X11" s="48">
        <v>40</v>
      </c>
      <c r="Y11" s="48">
        <v>40</v>
      </c>
      <c r="Z11" s="80">
        <f t="shared" si="1"/>
        <v>740</v>
      </c>
    </row>
    <row r="12" spans="1:26" s="73" customFormat="1" ht="12">
      <c r="A12" s="78" t="s">
        <v>436</v>
      </c>
      <c r="B12" s="79">
        <v>20</v>
      </c>
      <c r="C12" s="79">
        <v>20</v>
      </c>
      <c r="D12" s="79">
        <v>20</v>
      </c>
      <c r="E12" s="48">
        <v>20</v>
      </c>
      <c r="F12" s="48">
        <v>30</v>
      </c>
      <c r="G12" s="48">
        <v>30</v>
      </c>
      <c r="H12" s="48">
        <v>30</v>
      </c>
      <c r="I12" s="48">
        <v>20</v>
      </c>
      <c r="J12" s="48">
        <v>20</v>
      </c>
      <c r="K12" s="48">
        <v>20</v>
      </c>
      <c r="L12" s="48">
        <v>30</v>
      </c>
      <c r="M12" s="48">
        <v>30</v>
      </c>
      <c r="N12" s="79">
        <v>20</v>
      </c>
      <c r="O12" s="79">
        <v>20</v>
      </c>
      <c r="P12" s="79">
        <v>20</v>
      </c>
      <c r="Q12" s="48">
        <v>20</v>
      </c>
      <c r="R12" s="48">
        <v>30</v>
      </c>
      <c r="S12" s="48">
        <v>30</v>
      </c>
      <c r="T12" s="48">
        <v>30</v>
      </c>
      <c r="U12" s="48">
        <v>20</v>
      </c>
      <c r="V12" s="48">
        <v>20</v>
      </c>
      <c r="W12" s="48">
        <v>20</v>
      </c>
      <c r="X12" s="48">
        <v>30</v>
      </c>
      <c r="Y12" s="48">
        <v>30</v>
      </c>
      <c r="Z12" s="80">
        <f t="shared" si="1"/>
        <v>580</v>
      </c>
    </row>
    <row r="13" spans="1:26" s="73" customFormat="1" ht="12">
      <c r="A13" s="78" t="s">
        <v>437</v>
      </c>
      <c r="B13" s="79">
        <v>30</v>
      </c>
      <c r="C13" s="79">
        <v>30</v>
      </c>
      <c r="D13" s="79">
        <v>30</v>
      </c>
      <c r="E13" s="48">
        <v>30</v>
      </c>
      <c r="F13" s="48">
        <v>60</v>
      </c>
      <c r="G13" s="48">
        <v>60</v>
      </c>
      <c r="H13" s="48">
        <v>60</v>
      </c>
      <c r="I13" s="48">
        <v>30</v>
      </c>
      <c r="J13" s="48">
        <v>30</v>
      </c>
      <c r="K13" s="48">
        <v>60</v>
      </c>
      <c r="L13" s="48">
        <v>60</v>
      </c>
      <c r="M13" s="48">
        <v>60</v>
      </c>
      <c r="N13" s="79">
        <v>30</v>
      </c>
      <c r="O13" s="79">
        <v>30</v>
      </c>
      <c r="P13" s="79">
        <v>30</v>
      </c>
      <c r="Q13" s="48">
        <v>30</v>
      </c>
      <c r="R13" s="48">
        <v>60</v>
      </c>
      <c r="S13" s="48">
        <v>60</v>
      </c>
      <c r="T13" s="48">
        <v>60</v>
      </c>
      <c r="U13" s="48">
        <v>30</v>
      </c>
      <c r="V13" s="48">
        <v>30</v>
      </c>
      <c r="W13" s="48">
        <v>60</v>
      </c>
      <c r="X13" s="48">
        <v>60</v>
      </c>
      <c r="Y13" s="48">
        <v>60</v>
      </c>
      <c r="Z13" s="80">
        <f t="shared" si="1"/>
        <v>1080</v>
      </c>
    </row>
    <row r="14" spans="1:26" s="73" customFormat="1" ht="12.75" thickBot="1">
      <c r="A14" s="78" t="s">
        <v>454</v>
      </c>
      <c r="B14" s="79">
        <v>1</v>
      </c>
      <c r="C14" s="79">
        <v>1</v>
      </c>
      <c r="D14" s="79">
        <v>1</v>
      </c>
      <c r="E14" s="48">
        <v>1</v>
      </c>
      <c r="F14" s="48">
        <v>1</v>
      </c>
      <c r="G14" s="48">
        <v>1</v>
      </c>
      <c r="H14" s="48">
        <v>1</v>
      </c>
      <c r="I14" s="48">
        <v>1</v>
      </c>
      <c r="J14" s="48">
        <v>1</v>
      </c>
      <c r="K14" s="48">
        <v>1</v>
      </c>
      <c r="L14" s="48">
        <v>1</v>
      </c>
      <c r="M14" s="48">
        <v>1</v>
      </c>
      <c r="N14" s="79">
        <v>1</v>
      </c>
      <c r="O14" s="79">
        <v>1</v>
      </c>
      <c r="P14" s="79">
        <v>1</v>
      </c>
      <c r="Q14" s="48">
        <v>1</v>
      </c>
      <c r="R14" s="48">
        <v>1</v>
      </c>
      <c r="S14" s="48">
        <v>1</v>
      </c>
      <c r="T14" s="48">
        <v>1</v>
      </c>
      <c r="U14" s="48">
        <v>1</v>
      </c>
      <c r="V14" s="48">
        <v>1</v>
      </c>
      <c r="W14" s="48">
        <v>1</v>
      </c>
      <c r="X14" s="48">
        <v>1</v>
      </c>
      <c r="Y14" s="48">
        <v>1</v>
      </c>
      <c r="Z14" s="80">
        <v>1</v>
      </c>
    </row>
    <row r="15" spans="1:26" ht="12.75" thickBot="1">
      <c r="A15" s="81" t="s">
        <v>58</v>
      </c>
      <c r="B15" s="82">
        <f aca="true" t="shared" si="6" ref="B15:Y15">SUM(B4:B14)</f>
        <v>97</v>
      </c>
      <c r="C15" s="82">
        <f t="shared" si="6"/>
        <v>94</v>
      </c>
      <c r="D15" s="82">
        <f t="shared" si="6"/>
        <v>93</v>
      </c>
      <c r="E15" s="83">
        <f t="shared" si="6"/>
        <v>115</v>
      </c>
      <c r="F15" s="83">
        <f t="shared" si="6"/>
        <v>154</v>
      </c>
      <c r="G15" s="83">
        <f t="shared" si="6"/>
        <v>151</v>
      </c>
      <c r="H15" s="83">
        <f t="shared" si="6"/>
        <v>157</v>
      </c>
      <c r="I15" s="83">
        <f t="shared" si="6"/>
        <v>96</v>
      </c>
      <c r="J15" s="83">
        <f t="shared" si="6"/>
        <v>93</v>
      </c>
      <c r="K15" s="83">
        <f t="shared" si="6"/>
        <v>133</v>
      </c>
      <c r="L15" s="83">
        <f t="shared" si="6"/>
        <v>152</v>
      </c>
      <c r="M15" s="83">
        <f t="shared" si="6"/>
        <v>154</v>
      </c>
      <c r="N15" s="83">
        <f t="shared" si="6"/>
        <v>97</v>
      </c>
      <c r="O15" s="83">
        <f t="shared" si="6"/>
        <v>94</v>
      </c>
      <c r="P15" s="83">
        <f t="shared" si="6"/>
        <v>93</v>
      </c>
      <c r="Q15" s="83">
        <f t="shared" si="6"/>
        <v>115</v>
      </c>
      <c r="R15" s="83">
        <f t="shared" si="6"/>
        <v>154</v>
      </c>
      <c r="S15" s="83">
        <f t="shared" si="6"/>
        <v>151</v>
      </c>
      <c r="T15" s="83">
        <f t="shared" si="6"/>
        <v>157</v>
      </c>
      <c r="U15" s="83">
        <f t="shared" si="6"/>
        <v>96</v>
      </c>
      <c r="V15" s="83">
        <f t="shared" si="6"/>
        <v>93</v>
      </c>
      <c r="W15" s="83">
        <f t="shared" si="6"/>
        <v>133</v>
      </c>
      <c r="X15" s="83">
        <f t="shared" si="6"/>
        <v>152</v>
      </c>
      <c r="Y15" s="84">
        <f t="shared" si="6"/>
        <v>154</v>
      </c>
      <c r="Z15" s="85">
        <f t="shared" si="1"/>
        <v>2978</v>
      </c>
    </row>
    <row r="16" spans="2:26" ht="1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64"/>
    </row>
    <row r="17" spans="1:3" ht="12">
      <c r="A17" s="449" t="s">
        <v>108</v>
      </c>
      <c r="B17" s="449"/>
      <c r="C17" s="449"/>
    </row>
    <row r="18" ht="12.75" thickBot="1"/>
    <row r="19" spans="1:27" ht="12.75" thickBot="1">
      <c r="A19" s="344" t="s">
        <v>83</v>
      </c>
      <c r="B19" s="345" t="s">
        <v>109</v>
      </c>
      <c r="C19" s="346" t="s">
        <v>84</v>
      </c>
      <c r="D19" s="346" t="s">
        <v>85</v>
      </c>
      <c r="E19" s="346" t="s">
        <v>86</v>
      </c>
      <c r="F19" s="347" t="s">
        <v>87</v>
      </c>
      <c r="G19" s="347" t="s">
        <v>88</v>
      </c>
      <c r="H19" s="347" t="s">
        <v>89</v>
      </c>
      <c r="I19" s="348" t="s">
        <v>90</v>
      </c>
      <c r="J19" s="348" t="s">
        <v>91</v>
      </c>
      <c r="K19" s="348" t="s">
        <v>92</v>
      </c>
      <c r="L19" s="294" t="s">
        <v>93</v>
      </c>
      <c r="M19" s="294" t="s">
        <v>94</v>
      </c>
      <c r="N19" s="294" t="s">
        <v>95</v>
      </c>
      <c r="O19" s="346" t="s">
        <v>96</v>
      </c>
      <c r="P19" s="346" t="s">
        <v>97</v>
      </c>
      <c r="Q19" s="346" t="s">
        <v>98</v>
      </c>
      <c r="R19" s="347" t="s">
        <v>99</v>
      </c>
      <c r="S19" s="347" t="s">
        <v>100</v>
      </c>
      <c r="T19" s="347" t="s">
        <v>101</v>
      </c>
      <c r="U19" s="348" t="s">
        <v>102</v>
      </c>
      <c r="V19" s="348" t="s">
        <v>103</v>
      </c>
      <c r="W19" s="348" t="s">
        <v>104</v>
      </c>
      <c r="X19" s="294" t="s">
        <v>105</v>
      </c>
      <c r="Y19" s="294" t="s">
        <v>106</v>
      </c>
      <c r="Z19" s="294" t="s">
        <v>107</v>
      </c>
      <c r="AA19" s="340" t="s">
        <v>58</v>
      </c>
    </row>
    <row r="20" spans="1:27" ht="12">
      <c r="A20" s="319" t="str">
        <f aca="true" t="shared" si="7" ref="A20:A29">A4</f>
        <v>Repostero de 2m</v>
      </c>
      <c r="B20" s="309">
        <f>+'ELAB DE PRECIO'!H6</f>
        <v>1700</v>
      </c>
      <c r="C20" s="309">
        <f>B4*$B$20</f>
        <v>3400</v>
      </c>
      <c r="D20" s="309">
        <f>C4*B20</f>
        <v>5100</v>
      </c>
      <c r="E20" s="349">
        <f>D4*B20</f>
        <v>5100</v>
      </c>
      <c r="F20" s="349">
        <f>E4*B20</f>
        <v>5100</v>
      </c>
      <c r="G20" s="349">
        <f>F4*B20</f>
        <v>5100</v>
      </c>
      <c r="H20" s="349">
        <f>G4*B20</f>
        <v>5100</v>
      </c>
      <c r="I20" s="349">
        <f>H4*B20</f>
        <v>5100</v>
      </c>
      <c r="J20" s="349">
        <f>I4*B20</f>
        <v>5100</v>
      </c>
      <c r="K20" s="349">
        <f>J4*B20</f>
        <v>5100</v>
      </c>
      <c r="L20" s="349">
        <f>K4*B20</f>
        <v>5100</v>
      </c>
      <c r="M20" s="309">
        <f>L4*B20</f>
        <v>5100</v>
      </c>
      <c r="N20" s="309">
        <f>M4*B20</f>
        <v>5100</v>
      </c>
      <c r="O20" s="309">
        <f>N4*B20</f>
        <v>3400</v>
      </c>
      <c r="P20" s="309">
        <f>O4*B20</f>
        <v>5100</v>
      </c>
      <c r="Q20" s="309">
        <f>P4*B20</f>
        <v>5100</v>
      </c>
      <c r="R20" s="309">
        <f>Q4*B20</f>
        <v>5100</v>
      </c>
      <c r="S20" s="349">
        <f>R4*B20</f>
        <v>5100</v>
      </c>
      <c r="T20" s="349">
        <f>S4*B20</f>
        <v>5100</v>
      </c>
      <c r="U20" s="349">
        <f>T4*B20</f>
        <v>5100</v>
      </c>
      <c r="V20" s="349">
        <f>U4*B20</f>
        <v>5100</v>
      </c>
      <c r="W20" s="349">
        <f>V4*B20</f>
        <v>5100</v>
      </c>
      <c r="X20" s="349">
        <f>W4*B20</f>
        <v>5100</v>
      </c>
      <c r="Y20" s="349">
        <f>X4*B20</f>
        <v>5100</v>
      </c>
      <c r="Z20" s="349">
        <f>Y4*B20</f>
        <v>5100</v>
      </c>
      <c r="AA20" s="341">
        <f aca="true" t="shared" si="8" ref="AA20:AA30">SUM(C20:Z20)</f>
        <v>119000</v>
      </c>
    </row>
    <row r="21" spans="1:27" ht="12">
      <c r="A21" s="319" t="str">
        <f t="shared" si="7"/>
        <v>Closet</v>
      </c>
      <c r="B21" s="309">
        <f>+'ELAB DE PRECIO'!H7</f>
        <v>800</v>
      </c>
      <c r="C21" s="309">
        <f>B5*$B$21</f>
        <v>3200</v>
      </c>
      <c r="D21" s="309">
        <f>C5*B21</f>
        <v>3200</v>
      </c>
      <c r="E21" s="349">
        <f>D5*B21</f>
        <v>3200</v>
      </c>
      <c r="F21" s="349">
        <f>E5*B21</f>
        <v>3200</v>
      </c>
      <c r="G21" s="349">
        <f>F5*B21</f>
        <v>3200</v>
      </c>
      <c r="H21" s="349">
        <f>G5*B21</f>
        <v>2400</v>
      </c>
      <c r="I21" s="349">
        <f>H5*B21</f>
        <v>3200</v>
      </c>
      <c r="J21" s="349">
        <f>I5*B21</f>
        <v>2400</v>
      </c>
      <c r="K21" s="349">
        <f>J5*B21</f>
        <v>2400</v>
      </c>
      <c r="L21" s="349">
        <f>K5*B21</f>
        <v>2400</v>
      </c>
      <c r="M21" s="309">
        <f>L5*B21</f>
        <v>2400</v>
      </c>
      <c r="N21" s="309">
        <f>M5*B21</f>
        <v>2400</v>
      </c>
      <c r="O21" s="309">
        <f>N5*B21</f>
        <v>3200</v>
      </c>
      <c r="P21" s="309">
        <f>O5*B21</f>
        <v>3200</v>
      </c>
      <c r="Q21" s="309">
        <f>P5*B21</f>
        <v>3200</v>
      </c>
      <c r="R21" s="309">
        <f>Q5*B21</f>
        <v>3200</v>
      </c>
      <c r="S21" s="349">
        <f>R5*B21</f>
        <v>3200</v>
      </c>
      <c r="T21" s="349">
        <f>S5*B21</f>
        <v>2400</v>
      </c>
      <c r="U21" s="349">
        <f>T5*B21</f>
        <v>3200</v>
      </c>
      <c r="V21" s="349">
        <f>U5*B21</f>
        <v>2400</v>
      </c>
      <c r="W21" s="349">
        <f>V5*B21</f>
        <v>2400</v>
      </c>
      <c r="X21" s="349">
        <f>W5*B21</f>
        <v>2400</v>
      </c>
      <c r="Y21" s="349">
        <f>X5*B21</f>
        <v>2400</v>
      </c>
      <c r="Z21" s="349">
        <f>Y5*B21</f>
        <v>2400</v>
      </c>
      <c r="AA21" s="342">
        <f t="shared" si="8"/>
        <v>67200</v>
      </c>
    </row>
    <row r="22" spans="1:27" ht="12">
      <c r="A22" s="319" t="str">
        <f t="shared" si="7"/>
        <v>Centro de Entretenimiento Peq</v>
      </c>
      <c r="B22" s="309">
        <f>+'ELAB DE PRECIO'!H8</f>
        <v>600</v>
      </c>
      <c r="C22" s="309">
        <f aca="true" t="shared" si="9" ref="C22:Z22">B6*$B$22</f>
        <v>1800</v>
      </c>
      <c r="D22" s="309">
        <f t="shared" si="9"/>
        <v>1800</v>
      </c>
      <c r="E22" s="309">
        <f t="shared" si="9"/>
        <v>1800</v>
      </c>
      <c r="F22" s="309">
        <f t="shared" si="9"/>
        <v>1800</v>
      </c>
      <c r="G22" s="309">
        <f t="shared" si="9"/>
        <v>1200</v>
      </c>
      <c r="H22" s="309">
        <f t="shared" si="9"/>
        <v>1800</v>
      </c>
      <c r="I22" s="309">
        <f t="shared" si="9"/>
        <v>1200</v>
      </c>
      <c r="J22" s="309">
        <f t="shared" si="9"/>
        <v>1200</v>
      </c>
      <c r="K22" s="309">
        <f t="shared" si="9"/>
        <v>1200</v>
      </c>
      <c r="L22" s="309">
        <f t="shared" si="9"/>
        <v>1200</v>
      </c>
      <c r="M22" s="309">
        <f t="shared" si="9"/>
        <v>1200</v>
      </c>
      <c r="N22" s="309">
        <f t="shared" si="9"/>
        <v>1200</v>
      </c>
      <c r="O22" s="309">
        <f t="shared" si="9"/>
        <v>1800</v>
      </c>
      <c r="P22" s="309">
        <f t="shared" si="9"/>
        <v>1800</v>
      </c>
      <c r="Q22" s="309">
        <f t="shared" si="9"/>
        <v>1800</v>
      </c>
      <c r="R22" s="309">
        <f t="shared" si="9"/>
        <v>1800</v>
      </c>
      <c r="S22" s="309">
        <f t="shared" si="9"/>
        <v>1200</v>
      </c>
      <c r="T22" s="309">
        <f t="shared" si="9"/>
        <v>1800</v>
      </c>
      <c r="U22" s="309">
        <f t="shared" si="9"/>
        <v>1200</v>
      </c>
      <c r="V22" s="309">
        <f t="shared" si="9"/>
        <v>1200</v>
      </c>
      <c r="W22" s="309">
        <f t="shared" si="9"/>
        <v>1200</v>
      </c>
      <c r="X22" s="309">
        <f t="shared" si="9"/>
        <v>1200</v>
      </c>
      <c r="Y22" s="309">
        <f t="shared" si="9"/>
        <v>1200</v>
      </c>
      <c r="Z22" s="309">
        <f t="shared" si="9"/>
        <v>1200</v>
      </c>
      <c r="AA22" s="342">
        <f t="shared" si="8"/>
        <v>34800</v>
      </c>
    </row>
    <row r="23" spans="1:27" ht="12">
      <c r="A23" s="319" t="str">
        <f t="shared" si="7"/>
        <v>Centro de Entretenimiento Grand</v>
      </c>
      <c r="B23" s="309">
        <f>+'ELAB DE PRECIO'!H9</f>
        <v>3000</v>
      </c>
      <c r="C23" s="309">
        <f aca="true" t="shared" si="10" ref="C23:Z23">B7*$B$23</f>
        <v>3000</v>
      </c>
      <c r="D23" s="309">
        <f t="shared" si="10"/>
        <v>3000</v>
      </c>
      <c r="E23" s="309">
        <f t="shared" si="10"/>
        <v>3000</v>
      </c>
      <c r="F23" s="309">
        <f t="shared" si="10"/>
        <v>3000</v>
      </c>
      <c r="G23" s="309">
        <f t="shared" si="10"/>
        <v>3000</v>
      </c>
      <c r="H23" s="309">
        <f t="shared" si="10"/>
        <v>3000</v>
      </c>
      <c r="I23" s="309">
        <f t="shared" si="10"/>
        <v>3000</v>
      </c>
      <c r="J23" s="309">
        <f t="shared" si="10"/>
        <v>6000</v>
      </c>
      <c r="K23" s="309">
        <f t="shared" si="10"/>
        <v>6000</v>
      </c>
      <c r="L23" s="309">
        <f t="shared" si="10"/>
        <v>6000</v>
      </c>
      <c r="M23" s="309">
        <f t="shared" si="10"/>
        <v>9000</v>
      </c>
      <c r="N23" s="309">
        <f t="shared" si="10"/>
        <v>9000</v>
      </c>
      <c r="O23" s="309">
        <f t="shared" si="10"/>
        <v>3000</v>
      </c>
      <c r="P23" s="309">
        <f t="shared" si="10"/>
        <v>3000</v>
      </c>
      <c r="Q23" s="309">
        <f t="shared" si="10"/>
        <v>3000</v>
      </c>
      <c r="R23" s="309">
        <f t="shared" si="10"/>
        <v>3000</v>
      </c>
      <c r="S23" s="309">
        <f t="shared" si="10"/>
        <v>3000</v>
      </c>
      <c r="T23" s="309">
        <f t="shared" si="10"/>
        <v>3000</v>
      </c>
      <c r="U23" s="309">
        <f t="shared" si="10"/>
        <v>3000</v>
      </c>
      <c r="V23" s="309">
        <f t="shared" si="10"/>
        <v>6000</v>
      </c>
      <c r="W23" s="309">
        <f t="shared" si="10"/>
        <v>6000</v>
      </c>
      <c r="X23" s="309">
        <f t="shared" si="10"/>
        <v>6000</v>
      </c>
      <c r="Y23" s="309">
        <f t="shared" si="10"/>
        <v>9000</v>
      </c>
      <c r="Z23" s="309">
        <f t="shared" si="10"/>
        <v>9000</v>
      </c>
      <c r="AA23" s="342">
        <f t="shared" si="8"/>
        <v>114000</v>
      </c>
    </row>
    <row r="24" spans="1:27" ht="12">
      <c r="A24" s="319" t="str">
        <f t="shared" si="7"/>
        <v>Escritorio</v>
      </c>
      <c r="B24" s="309">
        <f>+'ELAB DE PRECIO'!H10</f>
        <v>550</v>
      </c>
      <c r="C24" s="309">
        <f aca="true" t="shared" si="11" ref="C24:Z24">B8*$B$24</f>
        <v>1100</v>
      </c>
      <c r="D24" s="309">
        <f t="shared" si="11"/>
        <v>1650</v>
      </c>
      <c r="E24" s="309">
        <f t="shared" si="11"/>
        <v>1650</v>
      </c>
      <c r="F24" s="309">
        <f t="shared" si="11"/>
        <v>1650</v>
      </c>
      <c r="G24" s="309">
        <f t="shared" si="11"/>
        <v>1650</v>
      </c>
      <c r="H24" s="309">
        <f t="shared" si="11"/>
        <v>1650</v>
      </c>
      <c r="I24" s="309">
        <f t="shared" si="11"/>
        <v>1650</v>
      </c>
      <c r="J24" s="309">
        <f t="shared" si="11"/>
        <v>1650</v>
      </c>
      <c r="K24" s="309">
        <f t="shared" si="11"/>
        <v>1650</v>
      </c>
      <c r="L24" s="309">
        <f t="shared" si="11"/>
        <v>1650</v>
      </c>
      <c r="M24" s="309">
        <f t="shared" si="11"/>
        <v>1650</v>
      </c>
      <c r="N24" s="309">
        <f t="shared" si="11"/>
        <v>1650</v>
      </c>
      <c r="O24" s="309">
        <f t="shared" si="11"/>
        <v>1100</v>
      </c>
      <c r="P24" s="309">
        <f t="shared" si="11"/>
        <v>1650</v>
      </c>
      <c r="Q24" s="309">
        <f t="shared" si="11"/>
        <v>1650</v>
      </c>
      <c r="R24" s="309">
        <f t="shared" si="11"/>
        <v>1650</v>
      </c>
      <c r="S24" s="309">
        <f t="shared" si="11"/>
        <v>1650</v>
      </c>
      <c r="T24" s="309">
        <f t="shared" si="11"/>
        <v>1650</v>
      </c>
      <c r="U24" s="309">
        <f t="shared" si="11"/>
        <v>1650</v>
      </c>
      <c r="V24" s="309">
        <f t="shared" si="11"/>
        <v>1650</v>
      </c>
      <c r="W24" s="309">
        <f t="shared" si="11"/>
        <v>1650</v>
      </c>
      <c r="X24" s="309">
        <f t="shared" si="11"/>
        <v>1650</v>
      </c>
      <c r="Y24" s="309">
        <f t="shared" si="11"/>
        <v>1650</v>
      </c>
      <c r="Z24" s="309">
        <f t="shared" si="11"/>
        <v>1650</v>
      </c>
      <c r="AA24" s="342">
        <f t="shared" si="8"/>
        <v>38500</v>
      </c>
    </row>
    <row r="25" spans="1:27" ht="12">
      <c r="A25" s="319" t="str">
        <f t="shared" si="7"/>
        <v>Set de Cama</v>
      </c>
      <c r="B25" s="309">
        <f>+'ELAB DE PRECIO'!H11</f>
        <v>750</v>
      </c>
      <c r="C25" s="309">
        <f aca="true" t="shared" si="12" ref="C25:Z25">B9*$B$25</f>
        <v>4500</v>
      </c>
      <c r="D25" s="309">
        <f t="shared" si="12"/>
        <v>3000</v>
      </c>
      <c r="E25" s="309">
        <f t="shared" si="12"/>
        <v>2250</v>
      </c>
      <c r="F25" s="309">
        <f t="shared" si="12"/>
        <v>1500</v>
      </c>
      <c r="G25" s="309">
        <f t="shared" si="12"/>
        <v>1500</v>
      </c>
      <c r="H25" s="309">
        <f t="shared" si="12"/>
        <v>1500</v>
      </c>
      <c r="I25" s="309">
        <f t="shared" si="12"/>
        <v>3750</v>
      </c>
      <c r="J25" s="309">
        <f t="shared" si="12"/>
        <v>3000</v>
      </c>
      <c r="K25" s="309">
        <f t="shared" si="12"/>
        <v>3000</v>
      </c>
      <c r="L25" s="309">
        <f t="shared" si="12"/>
        <v>3000</v>
      </c>
      <c r="M25" s="309">
        <f t="shared" si="12"/>
        <v>1500</v>
      </c>
      <c r="N25" s="309">
        <f t="shared" si="12"/>
        <v>3000</v>
      </c>
      <c r="O25" s="309">
        <f t="shared" si="12"/>
        <v>4500</v>
      </c>
      <c r="P25" s="309">
        <f t="shared" si="12"/>
        <v>3000</v>
      </c>
      <c r="Q25" s="309">
        <f t="shared" si="12"/>
        <v>2250</v>
      </c>
      <c r="R25" s="309">
        <f t="shared" si="12"/>
        <v>1500</v>
      </c>
      <c r="S25" s="309">
        <f t="shared" si="12"/>
        <v>1500</v>
      </c>
      <c r="T25" s="309">
        <f t="shared" si="12"/>
        <v>1500</v>
      </c>
      <c r="U25" s="309">
        <f t="shared" si="12"/>
        <v>3750</v>
      </c>
      <c r="V25" s="309">
        <f t="shared" si="12"/>
        <v>3000</v>
      </c>
      <c r="W25" s="309">
        <f t="shared" si="12"/>
        <v>3000</v>
      </c>
      <c r="X25" s="309">
        <f t="shared" si="12"/>
        <v>3000</v>
      </c>
      <c r="Y25" s="309">
        <f t="shared" si="12"/>
        <v>1500</v>
      </c>
      <c r="Z25" s="309">
        <f t="shared" si="12"/>
        <v>3000</v>
      </c>
      <c r="AA25" s="342">
        <f t="shared" si="8"/>
        <v>63000</v>
      </c>
    </row>
    <row r="26" spans="1:27" ht="12">
      <c r="A26" s="319" t="str">
        <f t="shared" si="7"/>
        <v>Estante</v>
      </c>
      <c r="B26" s="309">
        <f>+'ELAB DE PRECIO'!H12</f>
        <v>280</v>
      </c>
      <c r="C26" s="309">
        <f aca="true" t="shared" si="13" ref="C26:Z26">B10*$B$26</f>
        <v>2240</v>
      </c>
      <c r="D26" s="309">
        <f t="shared" si="13"/>
        <v>1400</v>
      </c>
      <c r="E26" s="309">
        <f t="shared" si="13"/>
        <v>1400</v>
      </c>
      <c r="F26" s="309">
        <f t="shared" si="13"/>
        <v>2240</v>
      </c>
      <c r="G26" s="309">
        <f t="shared" si="13"/>
        <v>2240</v>
      </c>
      <c r="H26" s="309">
        <f t="shared" si="13"/>
        <v>1400</v>
      </c>
      <c r="I26" s="309">
        <f t="shared" si="13"/>
        <v>2240</v>
      </c>
      <c r="J26" s="309">
        <f t="shared" si="13"/>
        <v>2240</v>
      </c>
      <c r="K26" s="309">
        <f t="shared" si="13"/>
        <v>1400</v>
      </c>
      <c r="L26" s="309">
        <f t="shared" si="13"/>
        <v>1400</v>
      </c>
      <c r="M26" s="309">
        <f t="shared" si="13"/>
        <v>1400</v>
      </c>
      <c r="N26" s="309">
        <f t="shared" si="13"/>
        <v>1400</v>
      </c>
      <c r="O26" s="309">
        <f t="shared" si="13"/>
        <v>2240</v>
      </c>
      <c r="P26" s="309">
        <f t="shared" si="13"/>
        <v>1400</v>
      </c>
      <c r="Q26" s="309">
        <f t="shared" si="13"/>
        <v>1400</v>
      </c>
      <c r="R26" s="309">
        <f t="shared" si="13"/>
        <v>2240</v>
      </c>
      <c r="S26" s="309">
        <f t="shared" si="13"/>
        <v>2240</v>
      </c>
      <c r="T26" s="309">
        <f t="shared" si="13"/>
        <v>1400</v>
      </c>
      <c r="U26" s="309">
        <f t="shared" si="13"/>
        <v>2240</v>
      </c>
      <c r="V26" s="309">
        <f t="shared" si="13"/>
        <v>2240</v>
      </c>
      <c r="W26" s="309">
        <f t="shared" si="13"/>
        <v>1400</v>
      </c>
      <c r="X26" s="309">
        <f t="shared" si="13"/>
        <v>1400</v>
      </c>
      <c r="Y26" s="309">
        <f t="shared" si="13"/>
        <v>1400</v>
      </c>
      <c r="Z26" s="309">
        <f t="shared" si="13"/>
        <v>1400</v>
      </c>
      <c r="AA26" s="342">
        <f t="shared" si="8"/>
        <v>42000</v>
      </c>
    </row>
    <row r="27" spans="1:27" ht="12">
      <c r="A27" s="319" t="str">
        <f t="shared" si="7"/>
        <v>MELAMINE DURAPLAC</v>
      </c>
      <c r="B27" s="309">
        <f>+'ELAB DE PRECIO'!H13</f>
        <v>225</v>
      </c>
      <c r="C27" s="309">
        <f>B11*$B$27</f>
        <v>4500</v>
      </c>
      <c r="D27" s="309">
        <f aca="true" t="shared" si="14" ref="D27:Z27">C11*$B$27</f>
        <v>4500</v>
      </c>
      <c r="E27" s="309">
        <f t="shared" si="14"/>
        <v>4500</v>
      </c>
      <c r="F27" s="309">
        <f t="shared" si="14"/>
        <v>9000</v>
      </c>
      <c r="G27" s="309">
        <f t="shared" si="14"/>
        <v>9000</v>
      </c>
      <c r="H27" s="309">
        <f t="shared" si="14"/>
        <v>9000</v>
      </c>
      <c r="I27" s="309">
        <f t="shared" si="14"/>
        <v>9000</v>
      </c>
      <c r="J27" s="309">
        <f t="shared" si="14"/>
        <v>4500</v>
      </c>
      <c r="K27" s="309">
        <f t="shared" si="14"/>
        <v>4500</v>
      </c>
      <c r="L27" s="309">
        <f t="shared" si="14"/>
        <v>6750</v>
      </c>
      <c r="M27" s="309">
        <f t="shared" si="14"/>
        <v>9000</v>
      </c>
      <c r="N27" s="309">
        <f t="shared" si="14"/>
        <v>9000</v>
      </c>
      <c r="O27" s="309">
        <f t="shared" si="14"/>
        <v>4500</v>
      </c>
      <c r="P27" s="309">
        <f t="shared" si="14"/>
        <v>4500</v>
      </c>
      <c r="Q27" s="309">
        <f t="shared" si="14"/>
        <v>4500</v>
      </c>
      <c r="R27" s="309">
        <f t="shared" si="14"/>
        <v>9000</v>
      </c>
      <c r="S27" s="309">
        <f t="shared" si="14"/>
        <v>9000</v>
      </c>
      <c r="T27" s="309">
        <f t="shared" si="14"/>
        <v>9000</v>
      </c>
      <c r="U27" s="309">
        <f t="shared" si="14"/>
        <v>9000</v>
      </c>
      <c r="V27" s="309">
        <f t="shared" si="14"/>
        <v>4500</v>
      </c>
      <c r="W27" s="309">
        <f t="shared" si="14"/>
        <v>4500</v>
      </c>
      <c r="X27" s="309">
        <f t="shared" si="14"/>
        <v>6750</v>
      </c>
      <c r="Y27" s="309">
        <f t="shared" si="14"/>
        <v>9000</v>
      </c>
      <c r="Z27" s="309">
        <f t="shared" si="14"/>
        <v>9000</v>
      </c>
      <c r="AA27" s="342">
        <f t="shared" si="8"/>
        <v>166500</v>
      </c>
    </row>
    <row r="28" spans="1:27" ht="12">
      <c r="A28" s="319" t="str">
        <f t="shared" si="7"/>
        <v>MELAMINE MASSISA</v>
      </c>
      <c r="B28" s="309">
        <f>+'ELAB DE PRECIO'!H14</f>
        <v>220</v>
      </c>
      <c r="C28" s="309">
        <f>B12*$B$28</f>
        <v>4400</v>
      </c>
      <c r="D28" s="309">
        <f aca="true" t="shared" si="15" ref="D28:Z28">C12*$B$28</f>
        <v>4400</v>
      </c>
      <c r="E28" s="309">
        <f t="shared" si="15"/>
        <v>4400</v>
      </c>
      <c r="F28" s="309">
        <f t="shared" si="15"/>
        <v>4400</v>
      </c>
      <c r="G28" s="309">
        <f t="shared" si="15"/>
        <v>6600</v>
      </c>
      <c r="H28" s="309">
        <f t="shared" si="15"/>
        <v>6600</v>
      </c>
      <c r="I28" s="309">
        <f t="shared" si="15"/>
        <v>6600</v>
      </c>
      <c r="J28" s="309">
        <f t="shared" si="15"/>
        <v>4400</v>
      </c>
      <c r="K28" s="309">
        <f t="shared" si="15"/>
        <v>4400</v>
      </c>
      <c r="L28" s="309">
        <f t="shared" si="15"/>
        <v>4400</v>
      </c>
      <c r="M28" s="309">
        <f t="shared" si="15"/>
        <v>6600</v>
      </c>
      <c r="N28" s="309">
        <f t="shared" si="15"/>
        <v>6600</v>
      </c>
      <c r="O28" s="309">
        <f t="shared" si="15"/>
        <v>4400</v>
      </c>
      <c r="P28" s="309">
        <f t="shared" si="15"/>
        <v>4400</v>
      </c>
      <c r="Q28" s="309">
        <f t="shared" si="15"/>
        <v>4400</v>
      </c>
      <c r="R28" s="309">
        <f t="shared" si="15"/>
        <v>4400</v>
      </c>
      <c r="S28" s="309">
        <f t="shared" si="15"/>
        <v>6600</v>
      </c>
      <c r="T28" s="309">
        <f t="shared" si="15"/>
        <v>6600</v>
      </c>
      <c r="U28" s="309">
        <f t="shared" si="15"/>
        <v>6600</v>
      </c>
      <c r="V28" s="309">
        <f t="shared" si="15"/>
        <v>4400</v>
      </c>
      <c r="W28" s="309">
        <f t="shared" si="15"/>
        <v>4400</v>
      </c>
      <c r="X28" s="309">
        <f t="shared" si="15"/>
        <v>4400</v>
      </c>
      <c r="Y28" s="309">
        <f t="shared" si="15"/>
        <v>6600</v>
      </c>
      <c r="Z28" s="309">
        <f t="shared" si="15"/>
        <v>6600</v>
      </c>
      <c r="AA28" s="342">
        <f t="shared" si="8"/>
        <v>127600</v>
      </c>
    </row>
    <row r="29" spans="1:27" ht="12">
      <c r="A29" s="319" t="str">
        <f t="shared" si="7"/>
        <v>MELAMINE DURATEX</v>
      </c>
      <c r="B29" s="309">
        <f>+'ELAB DE PRECIO'!H15</f>
        <v>195</v>
      </c>
      <c r="C29" s="309">
        <f>B13*$B$29</f>
        <v>5850</v>
      </c>
      <c r="D29" s="309">
        <f aca="true" t="shared" si="16" ref="D29:Z29">C13*$B$29</f>
        <v>5850</v>
      </c>
      <c r="E29" s="309">
        <f t="shared" si="16"/>
        <v>5850</v>
      </c>
      <c r="F29" s="309">
        <f t="shared" si="16"/>
        <v>5850</v>
      </c>
      <c r="G29" s="309">
        <f t="shared" si="16"/>
        <v>11700</v>
      </c>
      <c r="H29" s="309">
        <f t="shared" si="16"/>
        <v>11700</v>
      </c>
      <c r="I29" s="309">
        <f t="shared" si="16"/>
        <v>11700</v>
      </c>
      <c r="J29" s="309">
        <f t="shared" si="16"/>
        <v>5850</v>
      </c>
      <c r="K29" s="309">
        <f t="shared" si="16"/>
        <v>5850</v>
      </c>
      <c r="L29" s="309">
        <f t="shared" si="16"/>
        <v>11700</v>
      </c>
      <c r="M29" s="309">
        <f t="shared" si="16"/>
        <v>11700</v>
      </c>
      <c r="N29" s="309">
        <f t="shared" si="16"/>
        <v>11700</v>
      </c>
      <c r="O29" s="309">
        <f t="shared" si="16"/>
        <v>5850</v>
      </c>
      <c r="P29" s="309">
        <f t="shared" si="16"/>
        <v>5850</v>
      </c>
      <c r="Q29" s="309">
        <f t="shared" si="16"/>
        <v>5850</v>
      </c>
      <c r="R29" s="309">
        <f t="shared" si="16"/>
        <v>5850</v>
      </c>
      <c r="S29" s="309">
        <f t="shared" si="16"/>
        <v>11700</v>
      </c>
      <c r="T29" s="309">
        <f t="shared" si="16"/>
        <v>11700</v>
      </c>
      <c r="U29" s="309">
        <f t="shared" si="16"/>
        <v>11700</v>
      </c>
      <c r="V29" s="309">
        <f t="shared" si="16"/>
        <v>5850</v>
      </c>
      <c r="W29" s="309">
        <f t="shared" si="16"/>
        <v>5850</v>
      </c>
      <c r="X29" s="309">
        <f t="shared" si="16"/>
        <v>11700</v>
      </c>
      <c r="Y29" s="309">
        <f t="shared" si="16"/>
        <v>11700</v>
      </c>
      <c r="Z29" s="309">
        <f t="shared" si="16"/>
        <v>11700</v>
      </c>
      <c r="AA29" s="342">
        <f t="shared" si="8"/>
        <v>210600</v>
      </c>
    </row>
    <row r="30" spans="1:27" ht="12.75" thickBot="1">
      <c r="A30" s="319" t="s">
        <v>454</v>
      </c>
      <c r="B30" s="309">
        <f>+'ELAB DE PRECIO'!H16</f>
        <v>3500</v>
      </c>
      <c r="C30" s="309">
        <f>B14*$B$30</f>
        <v>3500</v>
      </c>
      <c r="D30" s="309">
        <f aca="true" t="shared" si="17" ref="D30:Z30">C14*$B$30</f>
        <v>3500</v>
      </c>
      <c r="E30" s="309">
        <f t="shared" si="17"/>
        <v>3500</v>
      </c>
      <c r="F30" s="309">
        <f t="shared" si="17"/>
        <v>3500</v>
      </c>
      <c r="G30" s="309">
        <f t="shared" si="17"/>
        <v>3500</v>
      </c>
      <c r="H30" s="309">
        <f t="shared" si="17"/>
        <v>3500</v>
      </c>
      <c r="I30" s="309">
        <f t="shared" si="17"/>
        <v>3500</v>
      </c>
      <c r="J30" s="309">
        <f t="shared" si="17"/>
        <v>3500</v>
      </c>
      <c r="K30" s="309">
        <f t="shared" si="17"/>
        <v>3500</v>
      </c>
      <c r="L30" s="309">
        <f t="shared" si="17"/>
        <v>3500</v>
      </c>
      <c r="M30" s="309">
        <f t="shared" si="17"/>
        <v>3500</v>
      </c>
      <c r="N30" s="309">
        <f t="shared" si="17"/>
        <v>3500</v>
      </c>
      <c r="O30" s="309">
        <f t="shared" si="17"/>
        <v>3500</v>
      </c>
      <c r="P30" s="309">
        <f t="shared" si="17"/>
        <v>3500</v>
      </c>
      <c r="Q30" s="309">
        <f t="shared" si="17"/>
        <v>3500</v>
      </c>
      <c r="R30" s="309">
        <f t="shared" si="17"/>
        <v>3500</v>
      </c>
      <c r="S30" s="309">
        <f t="shared" si="17"/>
        <v>3500</v>
      </c>
      <c r="T30" s="309">
        <f t="shared" si="17"/>
        <v>3500</v>
      </c>
      <c r="U30" s="309">
        <f t="shared" si="17"/>
        <v>3500</v>
      </c>
      <c r="V30" s="309">
        <f t="shared" si="17"/>
        <v>3500</v>
      </c>
      <c r="W30" s="309">
        <f t="shared" si="17"/>
        <v>3500</v>
      </c>
      <c r="X30" s="309">
        <f t="shared" si="17"/>
        <v>3500</v>
      </c>
      <c r="Y30" s="309">
        <f t="shared" si="17"/>
        <v>3500</v>
      </c>
      <c r="Z30" s="309">
        <f t="shared" si="17"/>
        <v>3500</v>
      </c>
      <c r="AA30" s="342">
        <f t="shared" si="8"/>
        <v>84000</v>
      </c>
    </row>
    <row r="31" spans="1:27" ht="12.75" thickBot="1">
      <c r="A31" s="350" t="s">
        <v>110</v>
      </c>
      <c r="B31" s="351"/>
      <c r="C31" s="334">
        <f aca="true" t="shared" si="18" ref="C31:AA31">SUM(C20:C30)</f>
        <v>37490</v>
      </c>
      <c r="D31" s="334">
        <f t="shared" si="18"/>
        <v>37400</v>
      </c>
      <c r="E31" s="334">
        <f t="shared" si="18"/>
        <v>36650</v>
      </c>
      <c r="F31" s="334">
        <f t="shared" si="18"/>
        <v>41240</v>
      </c>
      <c r="G31" s="334">
        <f t="shared" si="18"/>
        <v>48690</v>
      </c>
      <c r="H31" s="334">
        <f t="shared" si="18"/>
        <v>47650</v>
      </c>
      <c r="I31" s="334">
        <f t="shared" si="18"/>
        <v>50940</v>
      </c>
      <c r="J31" s="334">
        <f t="shared" si="18"/>
        <v>39840</v>
      </c>
      <c r="K31" s="334">
        <f t="shared" si="18"/>
        <v>39000</v>
      </c>
      <c r="L31" s="334">
        <f t="shared" si="18"/>
        <v>47100</v>
      </c>
      <c r="M31" s="334">
        <f t="shared" si="18"/>
        <v>53050</v>
      </c>
      <c r="N31" s="334">
        <f t="shared" si="18"/>
        <v>54550</v>
      </c>
      <c r="O31" s="334">
        <f t="shared" si="18"/>
        <v>37490</v>
      </c>
      <c r="P31" s="334">
        <f t="shared" si="18"/>
        <v>37400</v>
      </c>
      <c r="Q31" s="334">
        <f t="shared" si="18"/>
        <v>36650</v>
      </c>
      <c r="R31" s="334">
        <f t="shared" si="18"/>
        <v>41240</v>
      </c>
      <c r="S31" s="334">
        <f t="shared" si="18"/>
        <v>48690</v>
      </c>
      <c r="T31" s="334">
        <f t="shared" si="18"/>
        <v>47650</v>
      </c>
      <c r="U31" s="334">
        <f t="shared" si="18"/>
        <v>50940</v>
      </c>
      <c r="V31" s="334">
        <f t="shared" si="18"/>
        <v>39840</v>
      </c>
      <c r="W31" s="334">
        <f t="shared" si="18"/>
        <v>39000</v>
      </c>
      <c r="X31" s="334">
        <f t="shared" si="18"/>
        <v>47100</v>
      </c>
      <c r="Y31" s="334">
        <f t="shared" si="18"/>
        <v>53050</v>
      </c>
      <c r="Z31" s="334">
        <f t="shared" si="18"/>
        <v>54550</v>
      </c>
      <c r="AA31" s="343">
        <f t="shared" si="18"/>
        <v>1067200</v>
      </c>
    </row>
    <row r="33" ht="12">
      <c r="B33" s="86"/>
    </row>
  </sheetData>
  <sheetProtection/>
  <mergeCells count="2">
    <mergeCell ref="A1:C1"/>
    <mergeCell ref="A17:C17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M20"/>
  <sheetViews>
    <sheetView showGridLines="0" zoomScalePageLayoutView="0" workbookViewId="0" topLeftCell="A1">
      <selection activeCell="C20" sqref="C20"/>
    </sheetView>
  </sheetViews>
  <sheetFormatPr defaultColWidth="11.421875" defaultRowHeight="15"/>
  <cols>
    <col min="1" max="1" width="25.421875" style="4" customWidth="1"/>
    <col min="2" max="2" width="9.28125" style="4" bestFit="1" customWidth="1"/>
    <col min="3" max="3" width="10.28125" style="4" bestFit="1" customWidth="1"/>
    <col min="4" max="4" width="7.00390625" style="4" customWidth="1"/>
    <col min="5" max="7" width="8.8515625" style="4" customWidth="1"/>
    <col min="8" max="8" width="12.140625" style="4" customWidth="1"/>
    <col min="9" max="9" width="11.57421875" style="4" customWidth="1"/>
    <col min="10" max="10" width="10.8515625" style="4" customWidth="1"/>
    <col min="11" max="11" width="12.28125" style="4" customWidth="1"/>
    <col min="12" max="12" width="14.8515625" style="4" bestFit="1" customWidth="1"/>
    <col min="13" max="13" width="13.28125" style="4" bestFit="1" customWidth="1"/>
    <col min="14" max="14" width="11.421875" style="4" customWidth="1"/>
    <col min="15" max="16384" width="11.421875" style="4" customWidth="1"/>
  </cols>
  <sheetData>
    <row r="2" spans="1:5" ht="12">
      <c r="A2" s="438" t="s">
        <v>49</v>
      </c>
      <c r="B2" s="438"/>
      <c r="C2" s="438"/>
      <c r="D2" s="438"/>
      <c r="E2" s="438"/>
    </row>
    <row r="3" spans="4:10" ht="24">
      <c r="D3" s="52" t="s">
        <v>111</v>
      </c>
      <c r="E3" s="53" t="s">
        <v>112</v>
      </c>
      <c r="F3" s="52" t="s">
        <v>113</v>
      </c>
      <c r="G3" s="53" t="s">
        <v>114</v>
      </c>
      <c r="H3" s="54"/>
      <c r="J3" s="52" t="s">
        <v>115</v>
      </c>
    </row>
    <row r="4" spans="1:13" ht="24">
      <c r="A4" s="55" t="s">
        <v>116</v>
      </c>
      <c r="B4" s="55" t="s">
        <v>117</v>
      </c>
      <c r="C4" s="56" t="s">
        <v>118</v>
      </c>
      <c r="D4" s="55">
        <v>0.12</v>
      </c>
      <c r="E4" s="55">
        <v>0.1</v>
      </c>
      <c r="F4" s="55">
        <v>0.016</v>
      </c>
      <c r="G4" s="55">
        <v>0.0119</v>
      </c>
      <c r="H4" s="56" t="s">
        <v>119</v>
      </c>
      <c r="I4" s="56" t="s">
        <v>120</v>
      </c>
      <c r="J4" s="55">
        <v>0.09</v>
      </c>
      <c r="K4" s="56" t="s">
        <v>121</v>
      </c>
      <c r="L4" s="55" t="s">
        <v>444</v>
      </c>
      <c r="M4" s="56" t="s">
        <v>122</v>
      </c>
    </row>
    <row r="5" spans="1:13" ht="12">
      <c r="A5" s="19" t="s">
        <v>361</v>
      </c>
      <c r="B5" s="48">
        <v>1</v>
      </c>
      <c r="C5" s="12">
        <v>1200</v>
      </c>
      <c r="D5" s="12"/>
      <c r="E5" s="136">
        <f>$E$4*$C$5</f>
        <v>120</v>
      </c>
      <c r="F5" s="136">
        <f>$F$4*$C$5</f>
        <v>19.2</v>
      </c>
      <c r="G5" s="136">
        <f>$G$4*$C$5</f>
        <v>14.280000000000001</v>
      </c>
      <c r="H5" s="136">
        <f>SUM(E5:G5)</f>
        <v>153.48</v>
      </c>
      <c r="I5" s="137">
        <f>(C5*B5)-H5</f>
        <v>1046.52</v>
      </c>
      <c r="J5" s="137">
        <f>+(C5*$J$4)*B5</f>
        <v>108</v>
      </c>
      <c r="K5" s="137">
        <f>+(C5*B5)+J5</f>
        <v>1308</v>
      </c>
      <c r="L5" s="138">
        <f>+C5*1</f>
        <v>1200</v>
      </c>
      <c r="M5" s="48">
        <v>1</v>
      </c>
    </row>
    <row r="6" spans="1:13" ht="12">
      <c r="A6" s="19" t="s">
        <v>362</v>
      </c>
      <c r="B6" s="48">
        <v>1</v>
      </c>
      <c r="C6" s="12">
        <v>1000</v>
      </c>
      <c r="D6" s="12"/>
      <c r="E6" s="136">
        <f>$E$4*C6</f>
        <v>100</v>
      </c>
      <c r="F6" s="136">
        <f>$F$4*C6</f>
        <v>16</v>
      </c>
      <c r="G6" s="136">
        <f>$G$4*C6</f>
        <v>11.9</v>
      </c>
      <c r="H6" s="136">
        <f>SUM(E6:G6)</f>
        <v>127.9</v>
      </c>
      <c r="I6" s="137">
        <f>(C6*B6)-H6</f>
        <v>872.1</v>
      </c>
      <c r="J6" s="137">
        <f>+(C6*$J$4)*B6</f>
        <v>90</v>
      </c>
      <c r="K6" s="137">
        <f>+(C6*B6)+J6</f>
        <v>1090</v>
      </c>
      <c r="L6" s="138">
        <f>+C6*1</f>
        <v>1000</v>
      </c>
      <c r="M6" s="48">
        <v>1</v>
      </c>
    </row>
    <row r="7" spans="1:13" ht="12">
      <c r="A7" s="19" t="s">
        <v>457</v>
      </c>
      <c r="B7" s="48">
        <v>1</v>
      </c>
      <c r="C7" s="12">
        <v>850</v>
      </c>
      <c r="D7" s="12"/>
      <c r="E7" s="136">
        <f>$E$4*C7</f>
        <v>85</v>
      </c>
      <c r="F7" s="136">
        <f>$F$4*C7</f>
        <v>13.6</v>
      </c>
      <c r="G7" s="136">
        <f>$G$4*C7</f>
        <v>10.115</v>
      </c>
      <c r="H7" s="136">
        <f>SUM(E7:G7)</f>
        <v>108.71499999999999</v>
      </c>
      <c r="I7" s="137">
        <f>(C7*B7)-H7</f>
        <v>741.285</v>
      </c>
      <c r="J7" s="137">
        <f>+(C7*$J$4)*B7</f>
        <v>76.5</v>
      </c>
      <c r="K7" s="137">
        <f>+(C7*B7)+J7</f>
        <v>926.5</v>
      </c>
      <c r="L7" s="138">
        <f>+C7*1</f>
        <v>850</v>
      </c>
      <c r="M7" s="48">
        <v>1</v>
      </c>
    </row>
    <row r="8" spans="1:13" ht="12">
      <c r="A8" s="57" t="s">
        <v>460</v>
      </c>
      <c r="B8" s="57"/>
      <c r="C8" s="58">
        <f>SUM(C5:C7)</f>
        <v>3050</v>
      </c>
      <c r="D8" s="59"/>
      <c r="E8" s="59">
        <f aca="true" t="shared" si="0" ref="E8:M8">SUM(E5:E7)</f>
        <v>305</v>
      </c>
      <c r="F8" s="59">
        <f t="shared" si="0"/>
        <v>48.800000000000004</v>
      </c>
      <c r="G8" s="59">
        <f t="shared" si="0"/>
        <v>36.295</v>
      </c>
      <c r="H8" s="59">
        <f t="shared" si="0"/>
        <v>390.09499999999997</v>
      </c>
      <c r="I8" s="59">
        <f t="shared" si="0"/>
        <v>2659.9049999999997</v>
      </c>
      <c r="J8" s="59">
        <f t="shared" si="0"/>
        <v>274.5</v>
      </c>
      <c r="K8" s="59">
        <f t="shared" si="0"/>
        <v>3324.5</v>
      </c>
      <c r="L8" s="327">
        <f t="shared" si="0"/>
        <v>3050</v>
      </c>
      <c r="M8" s="60">
        <f t="shared" si="0"/>
        <v>3</v>
      </c>
    </row>
    <row r="11" spans="1:5" ht="12">
      <c r="A11" s="438" t="s">
        <v>123</v>
      </c>
      <c r="B11" s="438"/>
      <c r="C11" s="438"/>
      <c r="D11" s="438"/>
      <c r="E11" s="438"/>
    </row>
    <row r="12" spans="4:10" ht="24">
      <c r="D12" s="52" t="s">
        <v>111</v>
      </c>
      <c r="E12" s="53" t="s">
        <v>112</v>
      </c>
      <c r="F12" s="52" t="s">
        <v>113</v>
      </c>
      <c r="G12" s="53" t="s">
        <v>114</v>
      </c>
      <c r="H12" s="54"/>
      <c r="J12" s="52" t="s">
        <v>115</v>
      </c>
    </row>
    <row r="13" spans="1:13" ht="24">
      <c r="A13" s="55" t="s">
        <v>116</v>
      </c>
      <c r="B13" s="55" t="s">
        <v>117</v>
      </c>
      <c r="C13" s="56" t="s">
        <v>118</v>
      </c>
      <c r="D13" s="55">
        <v>0.12</v>
      </c>
      <c r="E13" s="55">
        <v>0.1</v>
      </c>
      <c r="F13" s="55">
        <v>0.016</v>
      </c>
      <c r="G13" s="55">
        <v>0.0119</v>
      </c>
      <c r="H13" s="56" t="s">
        <v>119</v>
      </c>
      <c r="I13" s="56" t="s">
        <v>120</v>
      </c>
      <c r="J13" s="55">
        <v>0.09</v>
      </c>
      <c r="K13" s="56" t="s">
        <v>121</v>
      </c>
      <c r="L13" s="55" t="s">
        <v>444</v>
      </c>
      <c r="M13" s="56" t="s">
        <v>122</v>
      </c>
    </row>
    <row r="14" spans="1:13" ht="12">
      <c r="A14" s="19" t="s">
        <v>445</v>
      </c>
      <c r="B14" s="48">
        <v>1</v>
      </c>
      <c r="C14" s="12">
        <v>1500</v>
      </c>
      <c r="D14" s="12"/>
      <c r="E14" s="136">
        <f>$E$13*$C$14</f>
        <v>150</v>
      </c>
      <c r="F14" s="136">
        <f>F13*$C$14</f>
        <v>24</v>
      </c>
      <c r="G14" s="136">
        <f>G13*$C$14</f>
        <v>17.85</v>
      </c>
      <c r="H14" s="136">
        <f>SUM(E14:G14)</f>
        <v>191.85</v>
      </c>
      <c r="I14" s="137">
        <f>(C14*B14)-H14</f>
        <v>1308.15</v>
      </c>
      <c r="J14" s="137">
        <f>+(C14*$J$4)*B14</f>
        <v>135</v>
      </c>
      <c r="K14" s="137">
        <f>+(C14*B14)+J14</f>
        <v>1635</v>
      </c>
      <c r="L14" s="138">
        <f>+C14*1</f>
        <v>1500</v>
      </c>
      <c r="M14" s="19">
        <v>1</v>
      </c>
    </row>
    <row r="15" spans="1:13" ht="12">
      <c r="A15" s="19" t="s">
        <v>459</v>
      </c>
      <c r="B15" s="48">
        <v>1</v>
      </c>
      <c r="C15" s="12">
        <v>850</v>
      </c>
      <c r="D15" s="12"/>
      <c r="E15" s="136">
        <f>$E$13*$C$15</f>
        <v>85</v>
      </c>
      <c r="F15" s="136">
        <f>$E$13*$C$15</f>
        <v>85</v>
      </c>
      <c r="G15" s="136">
        <f>$E$13*$C$15</f>
        <v>85</v>
      </c>
      <c r="H15" s="136">
        <f>SUM(E15:G15)</f>
        <v>255</v>
      </c>
      <c r="I15" s="137">
        <f>(C15*B15)-H15</f>
        <v>595</v>
      </c>
      <c r="J15" s="137">
        <f>+(C15*$J$4)*B15</f>
        <v>76.5</v>
      </c>
      <c r="K15" s="137">
        <f>+(C15*B15)+J15</f>
        <v>926.5</v>
      </c>
      <c r="L15" s="138">
        <f>+C15*1</f>
        <v>850</v>
      </c>
      <c r="M15" s="19">
        <v>1</v>
      </c>
    </row>
    <row r="16" spans="1:13" ht="12">
      <c r="A16" s="57" t="s">
        <v>460</v>
      </c>
      <c r="B16" s="57"/>
      <c r="C16" s="58">
        <f>SUM(C14:C15)</f>
        <v>2350</v>
      </c>
      <c r="D16" s="58"/>
      <c r="E16" s="58">
        <f>SUM(E14:E15)</f>
        <v>235</v>
      </c>
      <c r="F16" s="58">
        <f aca="true" t="shared" si="1" ref="F16:M16">SUM(F14:F15)</f>
        <v>109</v>
      </c>
      <c r="G16" s="58">
        <f t="shared" si="1"/>
        <v>102.85</v>
      </c>
      <c r="H16" s="58">
        <f t="shared" si="1"/>
        <v>446.85</v>
      </c>
      <c r="I16" s="58">
        <f t="shared" si="1"/>
        <v>1903.15</v>
      </c>
      <c r="J16" s="58">
        <f t="shared" si="1"/>
        <v>211.5</v>
      </c>
      <c r="K16" s="58">
        <f t="shared" si="1"/>
        <v>2561.5</v>
      </c>
      <c r="L16" s="58">
        <f t="shared" si="1"/>
        <v>2350</v>
      </c>
      <c r="M16" s="328">
        <f t="shared" si="1"/>
        <v>2</v>
      </c>
    </row>
    <row r="20" spans="1:10" ht="12">
      <c r="A20" s="214" t="s">
        <v>458</v>
      </c>
      <c r="C20" s="273"/>
      <c r="H20" s="61" t="s">
        <v>124</v>
      </c>
      <c r="J20" s="62">
        <f>K8+K16</f>
        <v>5886</v>
      </c>
    </row>
  </sheetData>
  <sheetProtection/>
  <mergeCells count="2">
    <mergeCell ref="A2:E2"/>
    <mergeCell ref="A11:E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showGridLines="0" zoomScalePageLayoutView="0" workbookViewId="0" topLeftCell="A1">
      <selection activeCell="H31" sqref="H31"/>
    </sheetView>
  </sheetViews>
  <sheetFormatPr defaultColWidth="11.421875" defaultRowHeight="15"/>
  <cols>
    <col min="1" max="1" width="25.7109375" style="4" bestFit="1" customWidth="1"/>
    <col min="2" max="16384" width="11.421875" style="4" customWidth="1"/>
  </cols>
  <sheetData>
    <row r="1" spans="1:5" ht="12">
      <c r="A1" s="438" t="s">
        <v>467</v>
      </c>
      <c r="B1" s="438"/>
      <c r="C1" s="438"/>
      <c r="D1" s="438"/>
      <c r="E1" s="438"/>
    </row>
    <row r="3" spans="1:5" ht="12">
      <c r="A3" s="437" t="s">
        <v>24</v>
      </c>
      <c r="B3" s="437" t="s">
        <v>25</v>
      </c>
      <c r="C3" s="437" t="s">
        <v>26</v>
      </c>
      <c r="D3" s="437" t="s">
        <v>27</v>
      </c>
      <c r="E3" s="437" t="s">
        <v>28</v>
      </c>
    </row>
    <row r="4" spans="1:5" ht="12">
      <c r="A4" s="437"/>
      <c r="B4" s="437"/>
      <c r="C4" s="437"/>
      <c r="D4" s="437"/>
      <c r="E4" s="437"/>
    </row>
    <row r="5" spans="1:5" ht="12">
      <c r="A5" s="43" t="s">
        <v>125</v>
      </c>
      <c r="B5" s="44"/>
      <c r="C5" s="45"/>
      <c r="D5" s="45"/>
      <c r="E5" s="134">
        <f>SUM(E6:E12)</f>
        <v>1845</v>
      </c>
    </row>
    <row r="6" spans="1:5" ht="12">
      <c r="A6" s="1" t="s">
        <v>126</v>
      </c>
      <c r="B6" s="131">
        <v>1200</v>
      </c>
      <c r="C6" s="47">
        <v>1</v>
      </c>
      <c r="D6" s="46" t="s">
        <v>455</v>
      </c>
      <c r="E6" s="131">
        <f aca="true" t="shared" si="0" ref="E6:E12">B6*C6</f>
        <v>1200</v>
      </c>
    </row>
    <row r="7" spans="1:5" ht="12">
      <c r="A7" s="1" t="s">
        <v>461</v>
      </c>
      <c r="B7" s="132">
        <v>70</v>
      </c>
      <c r="C7" s="47">
        <v>1</v>
      </c>
      <c r="D7" s="46" t="s">
        <v>455</v>
      </c>
      <c r="E7" s="131">
        <f t="shared" si="0"/>
        <v>70</v>
      </c>
    </row>
    <row r="8" spans="1:5" ht="12">
      <c r="A8" s="1" t="s">
        <v>127</v>
      </c>
      <c r="B8" s="131">
        <v>25</v>
      </c>
      <c r="C8" s="48">
        <v>1</v>
      </c>
      <c r="D8" s="46" t="s">
        <v>455</v>
      </c>
      <c r="E8" s="131">
        <f t="shared" si="0"/>
        <v>25</v>
      </c>
    </row>
    <row r="9" spans="1:5" ht="12">
      <c r="A9" s="1" t="s">
        <v>128</v>
      </c>
      <c r="B9" s="131">
        <v>200</v>
      </c>
      <c r="C9" s="48">
        <v>1</v>
      </c>
      <c r="D9" s="46" t="s">
        <v>455</v>
      </c>
      <c r="E9" s="131">
        <f t="shared" si="0"/>
        <v>200</v>
      </c>
    </row>
    <row r="10" spans="1:5" ht="12">
      <c r="A10" s="1" t="s">
        <v>462</v>
      </c>
      <c r="B10" s="131">
        <v>50</v>
      </c>
      <c r="C10" s="48">
        <v>1</v>
      </c>
      <c r="D10" s="46" t="s">
        <v>455</v>
      </c>
      <c r="E10" s="131">
        <f t="shared" si="0"/>
        <v>50</v>
      </c>
    </row>
    <row r="11" spans="1:5" ht="12">
      <c r="A11" s="1" t="s">
        <v>465</v>
      </c>
      <c r="B11" s="131">
        <v>150</v>
      </c>
      <c r="C11" s="48">
        <v>1</v>
      </c>
      <c r="D11" s="46" t="s">
        <v>455</v>
      </c>
      <c r="E11" s="131">
        <f t="shared" si="0"/>
        <v>150</v>
      </c>
    </row>
    <row r="12" spans="1:5" ht="12">
      <c r="A12" s="1" t="s">
        <v>463</v>
      </c>
      <c r="B12" s="131">
        <v>150</v>
      </c>
      <c r="C12" s="48">
        <v>1</v>
      </c>
      <c r="D12" s="46" t="s">
        <v>455</v>
      </c>
      <c r="E12" s="131">
        <f t="shared" si="0"/>
        <v>150</v>
      </c>
    </row>
    <row r="13" spans="1:5" ht="12">
      <c r="A13" s="49" t="s">
        <v>129</v>
      </c>
      <c r="B13" s="133"/>
      <c r="C13" s="45"/>
      <c r="D13" s="45"/>
      <c r="E13" s="134">
        <f>SUM(E14:E16)</f>
        <v>370</v>
      </c>
    </row>
    <row r="14" spans="1:5" ht="12">
      <c r="A14" s="352" t="s">
        <v>466</v>
      </c>
      <c r="B14" s="353">
        <v>56</v>
      </c>
      <c r="C14" s="47">
        <v>5</v>
      </c>
      <c r="D14" s="47" t="s">
        <v>471</v>
      </c>
      <c r="E14" s="131">
        <f>B14*C14</f>
        <v>280</v>
      </c>
    </row>
    <row r="15" spans="1:5" ht="12">
      <c r="A15" s="1" t="s">
        <v>469</v>
      </c>
      <c r="B15" s="131">
        <v>60</v>
      </c>
      <c r="C15" s="48">
        <v>1</v>
      </c>
      <c r="D15" s="10" t="s">
        <v>468</v>
      </c>
      <c r="E15" s="131">
        <f>B15*C15</f>
        <v>60</v>
      </c>
    </row>
    <row r="16" spans="1:5" ht="12">
      <c r="A16" s="1" t="s">
        <v>470</v>
      </c>
      <c r="B16" s="131">
        <v>30</v>
      </c>
      <c r="C16" s="48">
        <v>1</v>
      </c>
      <c r="D16" s="10" t="s">
        <v>468</v>
      </c>
      <c r="E16" s="131">
        <f>B16*C16</f>
        <v>30</v>
      </c>
    </row>
    <row r="17" spans="1:5" ht="12">
      <c r="A17" s="15" t="s">
        <v>130</v>
      </c>
      <c r="B17" s="50"/>
      <c r="C17" s="51"/>
      <c r="D17" s="51"/>
      <c r="E17" s="135">
        <f>E5+E13</f>
        <v>2215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R61"/>
  <sheetViews>
    <sheetView showGridLines="0" zoomScale="85" zoomScaleNormal="85" zoomScalePageLayoutView="0" workbookViewId="0" topLeftCell="A1">
      <selection activeCell="I20" sqref="I20"/>
    </sheetView>
  </sheetViews>
  <sheetFormatPr defaultColWidth="11.421875" defaultRowHeight="15"/>
  <cols>
    <col min="1" max="1" width="6.8515625" style="4" customWidth="1"/>
    <col min="2" max="2" width="11.421875" style="4" customWidth="1"/>
    <col min="3" max="3" width="25.7109375" style="4" customWidth="1"/>
    <col min="4" max="5" width="12.140625" style="4" bestFit="1" customWidth="1"/>
    <col min="6" max="6" width="14.421875" style="4" customWidth="1"/>
    <col min="7" max="7" width="11.421875" style="4" customWidth="1"/>
    <col min="8" max="8" width="15.7109375" style="4" customWidth="1"/>
    <col min="9" max="9" width="58.28125" style="4" customWidth="1"/>
    <col min="10" max="10" width="7.421875" style="4" bestFit="1" customWidth="1"/>
    <col min="11" max="12" width="6.7109375" style="4" bestFit="1" customWidth="1"/>
    <col min="13" max="13" width="11.57421875" style="4" bestFit="1" customWidth="1"/>
    <col min="14" max="14" width="11.421875" style="4" bestFit="1" customWidth="1"/>
    <col min="15" max="15" width="11.57421875" style="4" bestFit="1" customWidth="1"/>
    <col min="16" max="16" width="6.7109375" style="4" bestFit="1" customWidth="1"/>
    <col min="17" max="17" width="13.57421875" style="4" bestFit="1" customWidth="1"/>
    <col min="18" max="18" width="12.8515625" style="4" bestFit="1" customWidth="1"/>
    <col min="19" max="16384" width="11.421875" style="4" customWidth="1"/>
  </cols>
  <sheetData>
    <row r="1" spans="1:8" ht="12">
      <c r="A1" s="436" t="s">
        <v>131</v>
      </c>
      <c r="B1" s="436"/>
      <c r="C1" s="436"/>
      <c r="D1" s="436"/>
      <c r="E1" s="436"/>
      <c r="F1" s="436"/>
      <c r="G1" s="436"/>
      <c r="H1" s="436"/>
    </row>
    <row r="2" spans="1:8" ht="12">
      <c r="A2" s="3"/>
      <c r="B2" s="3"/>
      <c r="C2" s="3"/>
      <c r="D2" s="3"/>
      <c r="E2" s="3"/>
      <c r="F2" s="3"/>
      <c r="G2" s="3"/>
      <c r="H2" s="3"/>
    </row>
    <row r="3" spans="1:8" ht="24">
      <c r="A3" s="5" t="s">
        <v>26</v>
      </c>
      <c r="B3" s="5" t="s">
        <v>27</v>
      </c>
      <c r="C3" s="5" t="s">
        <v>116</v>
      </c>
      <c r="D3" s="5" t="s">
        <v>25</v>
      </c>
      <c r="E3" s="5" t="s">
        <v>58</v>
      </c>
      <c r="F3" s="5" t="s">
        <v>132</v>
      </c>
      <c r="G3" s="5" t="s">
        <v>133</v>
      </c>
      <c r="H3" s="5" t="s">
        <v>134</v>
      </c>
    </row>
    <row r="4" spans="1:8" ht="12">
      <c r="A4" s="6"/>
      <c r="B4" s="6"/>
      <c r="C4" s="7" t="s">
        <v>135</v>
      </c>
      <c r="D4" s="8"/>
      <c r="E4" s="8"/>
      <c r="F4" s="8"/>
      <c r="G4" s="8"/>
      <c r="H4" s="432">
        <f>SUM(H5:H20)</f>
        <v>66.95486111111111</v>
      </c>
    </row>
    <row r="5" spans="1:8" ht="12">
      <c r="A5" s="9">
        <f>+'INVERSION TOTAL'!C8</f>
        <v>1</v>
      </c>
      <c r="B5" s="10" t="s">
        <v>33</v>
      </c>
      <c r="C5" s="11" t="str">
        <f>'INVERSION TOTAL'!A8</f>
        <v>Computadora</v>
      </c>
      <c r="D5" s="313">
        <f>+'INVERSION TOTAL'!B8</f>
        <v>1500</v>
      </c>
      <c r="E5" s="313">
        <f>D5*A5</f>
        <v>1500</v>
      </c>
      <c r="F5" s="13">
        <v>0.25</v>
      </c>
      <c r="G5" s="14">
        <v>36</v>
      </c>
      <c r="H5" s="433">
        <f>(E5/G5)*F5</f>
        <v>10.416666666666666</v>
      </c>
    </row>
    <row r="6" spans="1:8" ht="12">
      <c r="A6" s="9">
        <f>+'INVERSION TOTAL'!C9</f>
        <v>1</v>
      </c>
      <c r="B6" s="10" t="s">
        <v>33</v>
      </c>
      <c r="C6" s="11" t="str">
        <f>'INVERSION TOTAL'!A9</f>
        <v>Impresora</v>
      </c>
      <c r="D6" s="313">
        <f>'INVERSION TOTAL'!B9</f>
        <v>450</v>
      </c>
      <c r="E6" s="313">
        <f>D6*A6</f>
        <v>450</v>
      </c>
      <c r="F6" s="13">
        <v>0.25</v>
      </c>
      <c r="G6" s="14">
        <v>48</v>
      </c>
      <c r="H6" s="433">
        <f aca="true" t="shared" si="0" ref="H6:H16">(E6/G6)*F6</f>
        <v>2.34375</v>
      </c>
    </row>
    <row r="7" spans="1:8" ht="12">
      <c r="A7" s="9">
        <f>+'INVERSION TOTAL'!C10</f>
        <v>1</v>
      </c>
      <c r="B7" s="10" t="s">
        <v>33</v>
      </c>
      <c r="C7" s="11" t="str">
        <f>'INVERSION TOTAL'!A10</f>
        <v>Emchapadora</v>
      </c>
      <c r="D7" s="313">
        <f>'INVERSION TOTAL'!B10</f>
        <v>20000</v>
      </c>
      <c r="E7" s="313">
        <f>D7*A7</f>
        <v>20000</v>
      </c>
      <c r="F7" s="13">
        <v>0.1</v>
      </c>
      <c r="G7" s="14">
        <v>60</v>
      </c>
      <c r="H7" s="433">
        <f t="shared" si="0"/>
        <v>33.333333333333336</v>
      </c>
    </row>
    <row r="8" spans="1:8" ht="12">
      <c r="A8" s="9">
        <f>+'INVERSION TOTAL'!C11</f>
        <v>1</v>
      </c>
      <c r="B8" s="10" t="s">
        <v>33</v>
      </c>
      <c r="C8" s="11" t="str">
        <f>'INVERSION TOTAL'!A11</f>
        <v>Escuadradora</v>
      </c>
      <c r="D8" s="313">
        <f>'INVERSION TOTAL'!B11</f>
        <v>10000</v>
      </c>
      <c r="E8" s="313">
        <f aca="true" t="shared" si="1" ref="E8:E20">D8*A8</f>
        <v>10000</v>
      </c>
      <c r="F8" s="13">
        <v>0.1</v>
      </c>
      <c r="G8" s="14">
        <v>60</v>
      </c>
      <c r="H8" s="433">
        <f t="shared" si="0"/>
        <v>16.666666666666668</v>
      </c>
    </row>
    <row r="9" spans="1:8" ht="12">
      <c r="A9" s="9">
        <f>+'INVERSION TOTAL'!C12</f>
        <v>1</v>
      </c>
      <c r="B9" s="10" t="s">
        <v>33</v>
      </c>
      <c r="C9" s="11" t="str">
        <f>'INVERSION TOTAL'!A12</f>
        <v>Caladora</v>
      </c>
      <c r="D9" s="313">
        <f>'INVERSION TOTAL'!B12</f>
        <v>450</v>
      </c>
      <c r="E9" s="313">
        <f t="shared" si="1"/>
        <v>450</v>
      </c>
      <c r="F9" s="13">
        <v>0.1</v>
      </c>
      <c r="G9" s="14">
        <v>60</v>
      </c>
      <c r="H9" s="433">
        <f t="shared" si="0"/>
        <v>0.75</v>
      </c>
    </row>
    <row r="10" spans="1:8" ht="12">
      <c r="A10" s="9">
        <f>+'INVERSION TOTAL'!C13</f>
        <v>1</v>
      </c>
      <c r="B10" s="10" t="s">
        <v>33</v>
      </c>
      <c r="C10" s="11" t="str">
        <f>'INVERSION TOTAL'!A13</f>
        <v>Pulidora</v>
      </c>
      <c r="D10" s="313">
        <f>'INVERSION TOTAL'!B13</f>
        <v>1500</v>
      </c>
      <c r="E10" s="313">
        <f t="shared" si="1"/>
        <v>1500</v>
      </c>
      <c r="F10" s="13">
        <v>0.1</v>
      </c>
      <c r="G10" s="14">
        <v>60</v>
      </c>
      <c r="H10" s="433">
        <f t="shared" si="0"/>
        <v>2.5</v>
      </c>
    </row>
    <row r="11" spans="1:8" ht="12">
      <c r="A11" s="9">
        <f>+'INVERSION TOTAL'!C14</f>
        <v>4</v>
      </c>
      <c r="B11" s="10" t="s">
        <v>33</v>
      </c>
      <c r="C11" s="11" t="str">
        <f>'INVERSION TOTAL'!A14</f>
        <v>Alicates</v>
      </c>
      <c r="D11" s="313">
        <f>'INVERSION TOTAL'!B14</f>
        <v>14</v>
      </c>
      <c r="E11" s="313">
        <f t="shared" si="1"/>
        <v>56</v>
      </c>
      <c r="F11" s="13" t="s">
        <v>506</v>
      </c>
      <c r="G11" s="14"/>
      <c r="H11" s="433"/>
    </row>
    <row r="12" spans="1:8" ht="12">
      <c r="A12" s="9">
        <f>+'INVERSION TOTAL'!C15</f>
        <v>4</v>
      </c>
      <c r="B12" s="10" t="s">
        <v>33</v>
      </c>
      <c r="C12" s="11" t="str">
        <f>'INVERSION TOTAL'!A15</f>
        <v>Sierra</v>
      </c>
      <c r="D12" s="313">
        <f>'INVERSION TOTAL'!B15</f>
        <v>12</v>
      </c>
      <c r="E12" s="313">
        <f t="shared" si="1"/>
        <v>48</v>
      </c>
      <c r="F12" s="13" t="s">
        <v>506</v>
      </c>
      <c r="G12" s="14"/>
      <c r="H12" s="433"/>
    </row>
    <row r="13" spans="1:8" ht="12">
      <c r="A13" s="9">
        <f>+'INVERSION TOTAL'!C16</f>
        <v>5</v>
      </c>
      <c r="B13" s="10" t="s">
        <v>33</v>
      </c>
      <c r="C13" s="11" t="str">
        <f>'INVERSION TOTAL'!A16</f>
        <v>Wincha</v>
      </c>
      <c r="D13" s="313">
        <f>'INVERSION TOTAL'!B16</f>
        <v>8</v>
      </c>
      <c r="E13" s="313">
        <f t="shared" si="1"/>
        <v>40</v>
      </c>
      <c r="F13" s="13" t="s">
        <v>506</v>
      </c>
      <c r="G13" s="14"/>
      <c r="H13" s="433"/>
    </row>
    <row r="14" spans="1:8" ht="12">
      <c r="A14" s="9">
        <f>+'INVERSION TOTAL'!C17</f>
        <v>5</v>
      </c>
      <c r="B14" s="10" t="s">
        <v>33</v>
      </c>
      <c r="C14" s="11" t="str">
        <f>'INVERSION TOTAL'!A17</f>
        <v>Desarmadores</v>
      </c>
      <c r="D14" s="313">
        <f>'INVERSION TOTAL'!B17</f>
        <v>20</v>
      </c>
      <c r="E14" s="313">
        <f t="shared" si="1"/>
        <v>100</v>
      </c>
      <c r="F14" s="13" t="s">
        <v>506</v>
      </c>
      <c r="G14" s="14"/>
      <c r="H14" s="433"/>
    </row>
    <row r="15" spans="1:8" ht="12">
      <c r="A15" s="9">
        <f>+'INVERSION TOTAL'!C18</f>
        <v>2</v>
      </c>
      <c r="B15" s="10" t="s">
        <v>33</v>
      </c>
      <c r="C15" s="11" t="str">
        <f>'INVERSION TOTAL'!A18</f>
        <v>Broca</v>
      </c>
      <c r="D15" s="313">
        <f>'INVERSION TOTAL'!B18</f>
        <v>14</v>
      </c>
      <c r="E15" s="313">
        <f t="shared" si="1"/>
        <v>28</v>
      </c>
      <c r="F15" s="13" t="s">
        <v>506</v>
      </c>
      <c r="G15" s="14"/>
      <c r="H15" s="433"/>
    </row>
    <row r="16" spans="1:8" ht="12">
      <c r="A16" s="9">
        <f>+'INVERSION TOTAL'!C19</f>
        <v>2</v>
      </c>
      <c r="B16" s="10" t="s">
        <v>33</v>
      </c>
      <c r="C16" s="11" t="str">
        <f>'INVERSION TOTAL'!A19</f>
        <v>Taladro</v>
      </c>
      <c r="D16" s="313">
        <f>'INVERSION TOTAL'!B19</f>
        <v>170</v>
      </c>
      <c r="E16" s="313">
        <f t="shared" si="1"/>
        <v>340</v>
      </c>
      <c r="F16" s="13">
        <v>0.1</v>
      </c>
      <c r="G16" s="14">
        <v>36</v>
      </c>
      <c r="H16" s="433">
        <f t="shared" si="0"/>
        <v>0.9444444444444445</v>
      </c>
    </row>
    <row r="17" spans="1:8" ht="12">
      <c r="A17" s="9">
        <f>+'INVERSION TOTAL'!C20</f>
        <v>1</v>
      </c>
      <c r="B17" s="10" t="s">
        <v>33</v>
      </c>
      <c r="C17" s="11" t="str">
        <f>'INVERSION TOTAL'!A20</f>
        <v>Esmeril</v>
      </c>
      <c r="D17" s="313">
        <f>'INVERSION TOTAL'!B20</f>
        <v>220</v>
      </c>
      <c r="E17" s="313">
        <f t="shared" si="1"/>
        <v>220</v>
      </c>
      <c r="F17" s="13" t="s">
        <v>506</v>
      </c>
      <c r="G17" s="14"/>
      <c r="H17" s="433"/>
    </row>
    <row r="18" spans="1:8" ht="12">
      <c r="A18" s="9">
        <f>+'INVERSION TOTAL'!C21</f>
        <v>3</v>
      </c>
      <c r="B18" s="10" t="s">
        <v>33</v>
      </c>
      <c r="C18" s="11" t="str">
        <f>'INVERSION TOTAL'!A21</f>
        <v>Lima</v>
      </c>
      <c r="D18" s="313">
        <f>'INVERSION TOTAL'!B21</f>
        <v>6</v>
      </c>
      <c r="E18" s="313">
        <f t="shared" si="1"/>
        <v>18</v>
      </c>
      <c r="F18" s="13" t="s">
        <v>506</v>
      </c>
      <c r="G18" s="14"/>
      <c r="H18" s="433"/>
    </row>
    <row r="19" spans="1:8" ht="12">
      <c r="A19" s="9">
        <f>+'INVERSION TOTAL'!C22</f>
        <v>2</v>
      </c>
      <c r="B19" s="10" t="s">
        <v>33</v>
      </c>
      <c r="C19" s="11" t="str">
        <f>'INVERSION TOTAL'!A22</f>
        <v>Espatula</v>
      </c>
      <c r="D19" s="313">
        <f>'INVERSION TOTAL'!B22</f>
        <v>2.5</v>
      </c>
      <c r="E19" s="313">
        <f t="shared" si="1"/>
        <v>5</v>
      </c>
      <c r="F19" s="13" t="s">
        <v>506</v>
      </c>
      <c r="G19" s="14"/>
      <c r="H19" s="433"/>
    </row>
    <row r="20" spans="1:8" ht="12">
      <c r="A20" s="9">
        <f>+'INVERSION TOTAL'!C23</f>
        <v>3</v>
      </c>
      <c r="B20" s="10" t="s">
        <v>33</v>
      </c>
      <c r="C20" s="11" t="str">
        <f>'INVERSION TOTAL'!A23</f>
        <v>Mascaras de filtro</v>
      </c>
      <c r="D20" s="313">
        <f>'INVERSION TOTAL'!B23</f>
        <v>15</v>
      </c>
      <c r="E20" s="313">
        <f t="shared" si="1"/>
        <v>45</v>
      </c>
      <c r="F20" s="13" t="s">
        <v>506</v>
      </c>
      <c r="G20" s="14"/>
      <c r="H20" s="433"/>
    </row>
    <row r="21" spans="1:8" ht="12">
      <c r="A21" s="9"/>
      <c r="B21" s="10"/>
      <c r="C21" s="15" t="s">
        <v>34</v>
      </c>
      <c r="D21" s="430"/>
      <c r="E21" s="431"/>
      <c r="F21" s="16"/>
      <c r="G21" s="17"/>
      <c r="H21" s="432">
        <f>SUM(H22:H27)</f>
        <v>16</v>
      </c>
    </row>
    <row r="22" spans="1:8" ht="12">
      <c r="A22" s="18">
        <f>+'INVERSION TOTAL'!C25</f>
        <v>1</v>
      </c>
      <c r="B22" s="10" t="s">
        <v>33</v>
      </c>
      <c r="C22" s="19" t="str">
        <f>'INVERSION TOTAL'!A25</f>
        <v>Escritorio</v>
      </c>
      <c r="D22" s="313">
        <v>550</v>
      </c>
      <c r="E22" s="313">
        <f aca="true" t="shared" si="2" ref="E22:E27">D22*A22</f>
        <v>550</v>
      </c>
      <c r="F22" s="13">
        <v>0.1</v>
      </c>
      <c r="G22" s="14">
        <v>36</v>
      </c>
      <c r="H22" s="433">
        <f aca="true" t="shared" si="3" ref="H22:H27">(E22/G22)*F22</f>
        <v>1.527777777777778</v>
      </c>
    </row>
    <row r="23" spans="1:8" ht="12">
      <c r="A23" s="18">
        <f>+'INVERSION TOTAL'!C26</f>
        <v>1</v>
      </c>
      <c r="B23" s="10" t="s">
        <v>33</v>
      </c>
      <c r="C23" s="19" t="str">
        <f>'INVERSION TOTAL'!A26</f>
        <v>Silla Ejecutiva</v>
      </c>
      <c r="D23" s="313">
        <v>150</v>
      </c>
      <c r="E23" s="313">
        <f t="shared" si="2"/>
        <v>150</v>
      </c>
      <c r="F23" s="13">
        <v>0.1</v>
      </c>
      <c r="G23" s="14">
        <v>36</v>
      </c>
      <c r="H23" s="433">
        <f t="shared" si="3"/>
        <v>0.41666666666666674</v>
      </c>
    </row>
    <row r="24" spans="1:8" ht="12">
      <c r="A24" s="18">
        <f>+'INVERSION TOTAL'!C27</f>
        <v>1</v>
      </c>
      <c r="B24" s="10" t="s">
        <v>33</v>
      </c>
      <c r="C24" s="19" t="str">
        <f>'INVERSION TOTAL'!A27</f>
        <v>Mostradores de vidrio</v>
      </c>
      <c r="D24" s="313">
        <f>'INVERSION TOTAL'!B27</f>
        <v>750</v>
      </c>
      <c r="E24" s="313">
        <f t="shared" si="2"/>
        <v>750</v>
      </c>
      <c r="F24" s="13">
        <v>0.1</v>
      </c>
      <c r="G24" s="14">
        <v>36</v>
      </c>
      <c r="H24" s="433">
        <f t="shared" si="3"/>
        <v>2.0833333333333335</v>
      </c>
    </row>
    <row r="25" spans="1:8" ht="12">
      <c r="A25" s="18">
        <f>+'INVERSION TOTAL'!C28</f>
        <v>1</v>
      </c>
      <c r="B25" s="10" t="s">
        <v>33</v>
      </c>
      <c r="C25" s="19" t="str">
        <f>'INVERSION TOTAL'!A28</f>
        <v>Mostrador principal</v>
      </c>
      <c r="D25" s="313">
        <f>'INVERSION TOTAL'!B28</f>
        <v>1200</v>
      </c>
      <c r="E25" s="313">
        <f t="shared" si="2"/>
        <v>1200</v>
      </c>
      <c r="F25" s="13">
        <v>0.1</v>
      </c>
      <c r="G25" s="14">
        <v>36</v>
      </c>
      <c r="H25" s="433">
        <f t="shared" si="3"/>
        <v>3.333333333333334</v>
      </c>
    </row>
    <row r="26" spans="1:8" ht="12">
      <c r="A26" s="18">
        <f>+'INVERSION TOTAL'!C29</f>
        <v>2</v>
      </c>
      <c r="B26" s="10" t="s">
        <v>33</v>
      </c>
      <c r="C26" s="19" t="str">
        <f>'INVERSION TOTAL'!A29</f>
        <v>Sillas de espera</v>
      </c>
      <c r="D26" s="313">
        <f>'INVERSION TOTAL'!B29</f>
        <v>25</v>
      </c>
      <c r="E26" s="313">
        <f t="shared" si="2"/>
        <v>50</v>
      </c>
      <c r="F26" s="13">
        <v>0.1</v>
      </c>
      <c r="G26" s="14">
        <v>36</v>
      </c>
      <c r="H26" s="433">
        <f t="shared" si="3"/>
        <v>0.1388888888888889</v>
      </c>
    </row>
    <row r="27" spans="1:8" ht="12">
      <c r="A27" s="18">
        <f>+'INVERSION TOTAL'!C30</f>
        <v>1</v>
      </c>
      <c r="B27" s="10" t="s">
        <v>33</v>
      </c>
      <c r="C27" s="19" t="str">
        <f>'INVERSION TOTAL'!A30</f>
        <v>Archivador</v>
      </c>
      <c r="D27" s="313">
        <f>'INVERSION TOTAL'!B30</f>
        <v>170</v>
      </c>
      <c r="E27" s="313">
        <f t="shared" si="2"/>
        <v>170</v>
      </c>
      <c r="F27" s="13">
        <v>0.1</v>
      </c>
      <c r="G27" s="14">
        <v>2</v>
      </c>
      <c r="H27" s="433">
        <f t="shared" si="3"/>
        <v>8.5</v>
      </c>
    </row>
    <row r="28" spans="1:8" ht="12">
      <c r="A28" s="9"/>
      <c r="B28" s="10"/>
      <c r="C28" s="20" t="s">
        <v>37</v>
      </c>
      <c r="D28" s="430"/>
      <c r="E28" s="431"/>
      <c r="F28" s="16"/>
      <c r="G28" s="17"/>
      <c r="H28" s="432">
        <f>SUM(H29:H30)</f>
        <v>0</v>
      </c>
    </row>
    <row r="29" spans="1:8" ht="12">
      <c r="A29" s="10">
        <v>1</v>
      </c>
      <c r="B29" s="10" t="s">
        <v>33</v>
      </c>
      <c r="C29" s="21" t="s">
        <v>38</v>
      </c>
      <c r="D29" s="422">
        <v>180</v>
      </c>
      <c r="E29" s="313">
        <f>D29*A29</f>
        <v>180</v>
      </c>
      <c r="F29" s="13" t="s">
        <v>506</v>
      </c>
      <c r="G29" s="14"/>
      <c r="H29" s="433"/>
    </row>
    <row r="30" spans="1:8" ht="12">
      <c r="A30" s="10">
        <v>1</v>
      </c>
      <c r="B30" s="10" t="s">
        <v>33</v>
      </c>
      <c r="C30" s="21" t="s">
        <v>39</v>
      </c>
      <c r="D30" s="422">
        <v>50</v>
      </c>
      <c r="E30" s="313">
        <f>D30*A30</f>
        <v>50</v>
      </c>
      <c r="F30" s="13" t="s">
        <v>506</v>
      </c>
      <c r="G30" s="14"/>
      <c r="H30" s="433"/>
    </row>
    <row r="31" spans="1:8" ht="12">
      <c r="A31" s="22"/>
      <c r="B31" s="22"/>
      <c r="C31" s="23" t="s">
        <v>136</v>
      </c>
      <c r="D31" s="24"/>
      <c r="E31" s="24"/>
      <c r="F31" s="24"/>
      <c r="G31" s="25"/>
      <c r="H31" s="434">
        <f>+H4+H21+H28</f>
        <v>82.95486111111111</v>
      </c>
    </row>
    <row r="36" spans="9:18" ht="12">
      <c r="I36" s="26" t="s">
        <v>137</v>
      </c>
      <c r="J36" s="27"/>
      <c r="K36" s="27"/>
      <c r="L36" s="27"/>
      <c r="M36" s="27"/>
      <c r="N36" s="27"/>
      <c r="O36" s="27"/>
      <c r="P36" s="27"/>
      <c r="Q36" s="27"/>
      <c r="R36" s="27"/>
    </row>
    <row r="37" spans="9:18" ht="12">
      <c r="I37" s="28"/>
      <c r="J37" s="29"/>
      <c r="K37" s="28"/>
      <c r="L37" s="28"/>
      <c r="M37" s="28"/>
      <c r="N37" s="28"/>
      <c r="O37" s="28"/>
      <c r="P37" s="28"/>
      <c r="Q37" s="29"/>
      <c r="R37" s="29"/>
    </row>
    <row r="38" spans="9:18" ht="12">
      <c r="I38" s="29"/>
      <c r="J38" s="30"/>
      <c r="K38" s="29"/>
      <c r="L38" s="29"/>
      <c r="M38" s="29"/>
      <c r="N38" s="29"/>
      <c r="O38" s="29"/>
      <c r="P38" s="29"/>
      <c r="Q38" s="29"/>
      <c r="R38" s="29"/>
    </row>
    <row r="39" spans="9:18" ht="12">
      <c r="I39" s="31"/>
      <c r="J39" s="31"/>
      <c r="K39" s="32" t="s">
        <v>138</v>
      </c>
      <c r="L39" s="32"/>
      <c r="M39" s="32"/>
      <c r="N39" s="32"/>
      <c r="O39" s="32"/>
      <c r="P39" s="32"/>
      <c r="Q39" s="32"/>
      <c r="R39" s="32"/>
    </row>
    <row r="40" spans="9:18" ht="12">
      <c r="I40" s="31"/>
      <c r="J40" s="31" t="s">
        <v>139</v>
      </c>
      <c r="K40" s="450">
        <v>1990</v>
      </c>
      <c r="L40" s="450">
        <v>1991</v>
      </c>
      <c r="M40" s="450" t="s">
        <v>140</v>
      </c>
      <c r="N40" s="450" t="s">
        <v>141</v>
      </c>
      <c r="O40" s="450" t="s">
        <v>142</v>
      </c>
      <c r="P40" s="450">
        <v>1999</v>
      </c>
      <c r="Q40" s="450" t="s">
        <v>143</v>
      </c>
      <c r="R40" s="450" t="s">
        <v>144</v>
      </c>
    </row>
    <row r="41" spans="9:18" ht="12">
      <c r="I41" s="33" t="s">
        <v>145</v>
      </c>
      <c r="J41" s="34" t="s">
        <v>146</v>
      </c>
      <c r="K41" s="451"/>
      <c r="L41" s="451"/>
      <c r="M41" s="451"/>
      <c r="N41" s="451"/>
      <c r="O41" s="451"/>
      <c r="P41" s="451"/>
      <c r="Q41" s="451"/>
      <c r="R41" s="451"/>
    </row>
    <row r="42" spans="9:18" ht="12">
      <c r="I42" s="35"/>
      <c r="J42" s="34" t="s">
        <v>147</v>
      </c>
      <c r="K42" s="452"/>
      <c r="L42" s="452"/>
      <c r="M42" s="452"/>
      <c r="N42" s="452"/>
      <c r="O42" s="452"/>
      <c r="P42" s="452"/>
      <c r="Q42" s="452"/>
      <c r="R42" s="452"/>
    </row>
    <row r="43" spans="9:18" ht="12">
      <c r="I43" s="36" t="s">
        <v>148</v>
      </c>
      <c r="J43" s="37"/>
      <c r="K43" s="38"/>
      <c r="L43" s="38">
        <v>0.1</v>
      </c>
      <c r="M43" s="38">
        <v>0.1</v>
      </c>
      <c r="N43" s="38">
        <v>0.1</v>
      </c>
      <c r="O43" s="38"/>
      <c r="P43" s="39"/>
      <c r="Q43" s="39"/>
      <c r="R43" s="39"/>
    </row>
    <row r="44" spans="9:18" ht="12">
      <c r="I44" s="36" t="s">
        <v>149</v>
      </c>
      <c r="J44" s="37"/>
      <c r="K44" s="39"/>
      <c r="L44" s="39"/>
      <c r="M44" s="39"/>
      <c r="N44" s="38">
        <v>0.1</v>
      </c>
      <c r="O44" s="38">
        <v>0.1</v>
      </c>
      <c r="P44" s="38">
        <v>0.1</v>
      </c>
      <c r="Q44" s="38">
        <v>0.1</v>
      </c>
      <c r="R44" s="38">
        <v>0.1</v>
      </c>
    </row>
    <row r="45" spans="9:18" ht="12">
      <c r="I45" s="36" t="s">
        <v>150</v>
      </c>
      <c r="J45" s="37"/>
      <c r="K45" s="39"/>
      <c r="L45" s="39"/>
      <c r="M45" s="39"/>
      <c r="N45" s="38"/>
      <c r="O45" s="38">
        <v>0.1</v>
      </c>
      <c r="P45" s="38">
        <v>0.1</v>
      </c>
      <c r="Q45" s="38"/>
      <c r="R45" s="39"/>
    </row>
    <row r="46" spans="9:18" ht="12">
      <c r="I46" s="36" t="s">
        <v>151</v>
      </c>
      <c r="J46" s="37"/>
      <c r="K46" s="38">
        <v>0.03</v>
      </c>
      <c r="L46" s="38">
        <v>0.03</v>
      </c>
      <c r="M46" s="38">
        <v>0.03</v>
      </c>
      <c r="N46" s="38">
        <v>0.03</v>
      </c>
      <c r="O46" s="38">
        <v>0.03</v>
      </c>
      <c r="P46" s="38">
        <v>0.03</v>
      </c>
      <c r="Q46" s="38">
        <v>0.03</v>
      </c>
      <c r="R46" s="38">
        <v>0.05</v>
      </c>
    </row>
    <row r="47" spans="9:18" ht="12">
      <c r="I47" s="36" t="s">
        <v>152</v>
      </c>
      <c r="J47" s="37">
        <v>4</v>
      </c>
      <c r="K47" s="38">
        <v>0.25</v>
      </c>
      <c r="L47" s="38">
        <v>0.25</v>
      </c>
      <c r="M47" s="38">
        <v>0.25</v>
      </c>
      <c r="N47" s="38">
        <v>0.25</v>
      </c>
      <c r="O47" s="38">
        <v>0.25</v>
      </c>
      <c r="P47" s="38">
        <v>0.25</v>
      </c>
      <c r="Q47" s="38">
        <v>0.25</v>
      </c>
      <c r="R47" s="38">
        <v>0.25</v>
      </c>
    </row>
    <row r="48" spans="9:18" ht="12">
      <c r="I48" s="36" t="s">
        <v>153</v>
      </c>
      <c r="J48" s="37"/>
      <c r="K48" s="39"/>
      <c r="L48" s="39"/>
      <c r="M48" s="39"/>
      <c r="N48" s="39"/>
      <c r="O48" s="39"/>
      <c r="P48" s="39"/>
      <c r="Q48" s="38">
        <v>0.75</v>
      </c>
      <c r="R48" s="39"/>
    </row>
    <row r="49" spans="9:18" ht="12">
      <c r="I49" s="36" t="s">
        <v>154</v>
      </c>
      <c r="J49" s="37">
        <v>5</v>
      </c>
      <c r="K49" s="38">
        <v>0.2</v>
      </c>
      <c r="L49" s="38">
        <v>0.2</v>
      </c>
      <c r="M49" s="38">
        <v>0.2</v>
      </c>
      <c r="N49" s="38">
        <v>0.2</v>
      </c>
      <c r="O49" s="38">
        <v>0.2</v>
      </c>
      <c r="P49" s="38">
        <v>0.2</v>
      </c>
      <c r="Q49" s="38">
        <v>0.2</v>
      </c>
      <c r="R49" s="38">
        <v>0.2</v>
      </c>
    </row>
    <row r="50" spans="9:18" ht="12">
      <c r="I50" s="36" t="s">
        <v>155</v>
      </c>
      <c r="J50" s="37"/>
      <c r="K50" s="39"/>
      <c r="L50" s="39"/>
      <c r="M50" s="39"/>
      <c r="N50" s="39"/>
      <c r="O50" s="39"/>
      <c r="P50" s="39"/>
      <c r="Q50" s="38"/>
      <c r="R50" s="39"/>
    </row>
    <row r="51" spans="9:18" ht="12">
      <c r="I51" s="36" t="s">
        <v>156</v>
      </c>
      <c r="J51" s="37">
        <v>5</v>
      </c>
      <c r="K51" s="38">
        <v>0.2</v>
      </c>
      <c r="L51" s="38">
        <v>0.2</v>
      </c>
      <c r="M51" s="38">
        <v>0.2</v>
      </c>
      <c r="N51" s="38">
        <v>0.2</v>
      </c>
      <c r="O51" s="38">
        <v>0.2</v>
      </c>
      <c r="P51" s="38">
        <v>0.2</v>
      </c>
      <c r="Q51" s="38">
        <v>0.2</v>
      </c>
      <c r="R51" s="38">
        <v>0.2</v>
      </c>
    </row>
    <row r="52" spans="9:18" ht="12">
      <c r="I52" s="36" t="s">
        <v>157</v>
      </c>
      <c r="J52" s="37">
        <v>4</v>
      </c>
      <c r="K52" s="39"/>
      <c r="L52" s="39"/>
      <c r="M52" s="38">
        <v>0.2</v>
      </c>
      <c r="N52" s="38">
        <v>0.2</v>
      </c>
      <c r="O52" s="38">
        <v>0.2</v>
      </c>
      <c r="P52" s="38">
        <v>0.25</v>
      </c>
      <c r="Q52" s="38">
        <v>0.25</v>
      </c>
      <c r="R52" s="38">
        <v>0.25</v>
      </c>
    </row>
    <row r="53" spans="9:18" ht="12">
      <c r="I53" s="36" t="s">
        <v>158</v>
      </c>
      <c r="J53" s="37">
        <v>10</v>
      </c>
      <c r="K53" s="39"/>
      <c r="L53" s="38">
        <v>0.2</v>
      </c>
      <c r="M53" s="38">
        <v>0.2</v>
      </c>
      <c r="N53" s="38">
        <v>0.2</v>
      </c>
      <c r="O53" s="38">
        <v>0.2</v>
      </c>
      <c r="P53" s="38">
        <v>0.1</v>
      </c>
      <c r="Q53" s="38">
        <v>0.1</v>
      </c>
      <c r="R53" s="38">
        <v>0.1</v>
      </c>
    </row>
    <row r="54" spans="9:18" ht="12">
      <c r="I54" s="36" t="s">
        <v>159</v>
      </c>
      <c r="J54" s="37">
        <v>10</v>
      </c>
      <c r="K54" s="38">
        <v>0.1</v>
      </c>
      <c r="L54" s="38">
        <v>0.1</v>
      </c>
      <c r="M54" s="38">
        <v>0.1</v>
      </c>
      <c r="N54" s="38">
        <v>0.1</v>
      </c>
      <c r="O54" s="38">
        <v>0.1</v>
      </c>
      <c r="P54" s="38">
        <v>0.1</v>
      </c>
      <c r="Q54" s="38">
        <v>0.1</v>
      </c>
      <c r="R54" s="38">
        <v>0.1</v>
      </c>
    </row>
    <row r="55" spans="9:18" ht="12">
      <c r="I55" s="40"/>
      <c r="J55" s="41"/>
      <c r="K55" s="42"/>
      <c r="L55" s="42"/>
      <c r="M55" s="42"/>
      <c r="N55" s="42"/>
      <c r="O55" s="42"/>
      <c r="P55" s="42"/>
      <c r="Q55" s="42"/>
      <c r="R55" s="27"/>
    </row>
    <row r="61" ht="12">
      <c r="I61" s="387"/>
    </row>
  </sheetData>
  <sheetProtection/>
  <mergeCells count="9">
    <mergeCell ref="A1:H1"/>
    <mergeCell ref="K40:K42"/>
    <mergeCell ref="R40:R42"/>
    <mergeCell ref="L40:L42"/>
    <mergeCell ref="M40:M42"/>
    <mergeCell ref="N40:N42"/>
    <mergeCell ref="O40:O42"/>
    <mergeCell ref="P40:P42"/>
    <mergeCell ref="Q40:Q42"/>
  </mergeCells>
  <printOptions/>
  <pageMargins left="0.7" right="0.7" top="0.75" bottom="0.75" header="0.3" footer="0.3"/>
  <pageSetup orientation="portrait" r:id="rId1"/>
  <ignoredErrors>
    <ignoredError sqref="H2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Y54"/>
  <sheetViews>
    <sheetView showGridLines="0" zoomScalePageLayoutView="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23" sqref="Y23"/>
    </sheetView>
  </sheetViews>
  <sheetFormatPr defaultColWidth="11.421875" defaultRowHeight="15"/>
  <cols>
    <col min="1" max="1" width="25.57421875" style="4" customWidth="1"/>
    <col min="2" max="13" width="9.7109375" style="4" hidden="1" customWidth="1"/>
    <col min="14" max="25" width="9.7109375" style="4" bestFit="1" customWidth="1"/>
    <col min="26" max="16384" width="11.421875" style="4" customWidth="1"/>
  </cols>
  <sheetData>
    <row r="1" spans="1:25" ht="12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30" customHeight="1">
      <c r="A3" s="141" t="s">
        <v>160</v>
      </c>
      <c r="B3" s="141">
        <v>1</v>
      </c>
      <c r="C3" s="141">
        <v>2</v>
      </c>
      <c r="D3" s="141">
        <v>3</v>
      </c>
      <c r="E3" s="141">
        <v>4</v>
      </c>
      <c r="F3" s="141">
        <v>5</v>
      </c>
      <c r="G3" s="141">
        <v>6</v>
      </c>
      <c r="H3" s="141">
        <v>7</v>
      </c>
      <c r="I3" s="141">
        <v>8</v>
      </c>
      <c r="J3" s="141">
        <v>9</v>
      </c>
      <c r="K3" s="141">
        <v>10</v>
      </c>
      <c r="L3" s="141">
        <v>11</v>
      </c>
      <c r="M3" s="141">
        <v>12</v>
      </c>
      <c r="N3" s="141">
        <v>13</v>
      </c>
      <c r="O3" s="141">
        <v>14</v>
      </c>
      <c r="P3" s="141">
        <v>15</v>
      </c>
      <c r="Q3" s="141">
        <v>16</v>
      </c>
      <c r="R3" s="141">
        <v>17</v>
      </c>
      <c r="S3" s="141">
        <v>18</v>
      </c>
      <c r="T3" s="141">
        <v>19</v>
      </c>
      <c r="U3" s="141">
        <v>20</v>
      </c>
      <c r="V3" s="141">
        <v>21</v>
      </c>
      <c r="W3" s="141">
        <v>22</v>
      </c>
      <c r="X3" s="141">
        <v>23</v>
      </c>
      <c r="Y3" s="141">
        <v>24</v>
      </c>
    </row>
    <row r="4" spans="1:25" ht="12">
      <c r="A4" s="142" t="s">
        <v>440</v>
      </c>
      <c r="B4" s="311">
        <f aca="true" t="shared" si="0" ref="B4:Y4">B37+B5+B46+B51</f>
        <v>30617.92286111111</v>
      </c>
      <c r="C4" s="311">
        <f t="shared" si="0"/>
        <v>30763.226861111114</v>
      </c>
      <c r="D4" s="311">
        <f t="shared" si="0"/>
        <v>30351.02686111111</v>
      </c>
      <c r="E4" s="311">
        <f t="shared" si="0"/>
        <v>33543.78686111111</v>
      </c>
      <c r="F4" s="311">
        <f t="shared" si="0"/>
        <v>38973.42686111111</v>
      </c>
      <c r="G4" s="311">
        <f t="shared" si="0"/>
        <v>38620.62686111111</v>
      </c>
      <c r="H4" s="311">
        <f t="shared" si="0"/>
        <v>43039.02686111111</v>
      </c>
      <c r="I4" s="311">
        <f t="shared" si="0"/>
        <v>31985.626861111108</v>
      </c>
      <c r="J4" s="311">
        <f t="shared" si="0"/>
        <v>31618.66686111111</v>
      </c>
      <c r="K4" s="311">
        <f t="shared" si="0"/>
        <v>37418.66686111111</v>
      </c>
      <c r="L4" s="311">
        <f t="shared" si="0"/>
        <v>41340.26686111111</v>
      </c>
      <c r="M4" s="311">
        <f t="shared" si="0"/>
        <v>45031.66686111111</v>
      </c>
      <c r="N4" s="311">
        <f t="shared" si="0"/>
        <v>30551.42286111111</v>
      </c>
      <c r="O4" s="311">
        <f t="shared" si="0"/>
        <v>30725.226861111114</v>
      </c>
      <c r="P4" s="311">
        <f t="shared" si="0"/>
        <v>30351.02686111111</v>
      </c>
      <c r="Q4" s="311">
        <f t="shared" si="0"/>
        <v>33543.78686111111</v>
      </c>
      <c r="R4" s="311">
        <f t="shared" si="0"/>
        <v>38973.42686111111</v>
      </c>
      <c r="S4" s="311">
        <f t="shared" si="0"/>
        <v>38620.62686111111</v>
      </c>
      <c r="T4" s="311">
        <f t="shared" si="0"/>
        <v>43039.02686111111</v>
      </c>
      <c r="U4" s="311">
        <f t="shared" si="0"/>
        <v>31985.626861111108</v>
      </c>
      <c r="V4" s="311">
        <f t="shared" si="0"/>
        <v>31618.66686111111</v>
      </c>
      <c r="W4" s="311">
        <f t="shared" si="0"/>
        <v>37418.66686111111</v>
      </c>
      <c r="X4" s="311">
        <f t="shared" si="0"/>
        <v>41340.26686111111</v>
      </c>
      <c r="Y4" s="311">
        <f t="shared" si="0"/>
        <v>45031.66686111111</v>
      </c>
    </row>
    <row r="5" spans="1:25" ht="12">
      <c r="A5" s="332" t="s">
        <v>161</v>
      </c>
      <c r="B5" s="334">
        <f aca="true" t="shared" si="1" ref="B5:Y5">B6+B33</f>
        <v>25908.468</v>
      </c>
      <c r="C5" s="334">
        <f t="shared" si="1"/>
        <v>26053.772</v>
      </c>
      <c r="D5" s="334">
        <f t="shared" si="1"/>
        <v>25641.571999999996</v>
      </c>
      <c r="E5" s="334">
        <f t="shared" si="1"/>
        <v>28834.332</v>
      </c>
      <c r="F5" s="334">
        <f t="shared" si="1"/>
        <v>34263.972</v>
      </c>
      <c r="G5" s="334">
        <f t="shared" si="1"/>
        <v>33911.172</v>
      </c>
      <c r="H5" s="334">
        <f t="shared" si="1"/>
        <v>37048.822</v>
      </c>
      <c r="I5" s="334">
        <f t="shared" si="1"/>
        <v>27276.172</v>
      </c>
      <c r="J5" s="334">
        <f t="shared" si="1"/>
        <v>26909.212</v>
      </c>
      <c r="K5" s="334">
        <f t="shared" si="1"/>
        <v>32709.212</v>
      </c>
      <c r="L5" s="334">
        <f t="shared" si="1"/>
        <v>36630.812</v>
      </c>
      <c r="M5" s="334">
        <f t="shared" si="1"/>
        <v>39041.462</v>
      </c>
      <c r="N5" s="334">
        <f t="shared" si="1"/>
        <v>25841.968</v>
      </c>
      <c r="O5" s="334">
        <f t="shared" si="1"/>
        <v>26015.772</v>
      </c>
      <c r="P5" s="334">
        <f t="shared" si="1"/>
        <v>25641.571999999996</v>
      </c>
      <c r="Q5" s="334">
        <f t="shared" si="1"/>
        <v>28834.332</v>
      </c>
      <c r="R5" s="334">
        <f t="shared" si="1"/>
        <v>34263.972</v>
      </c>
      <c r="S5" s="334">
        <f t="shared" si="1"/>
        <v>33911.172</v>
      </c>
      <c r="T5" s="334">
        <f t="shared" si="1"/>
        <v>37048.822</v>
      </c>
      <c r="U5" s="334">
        <f t="shared" si="1"/>
        <v>27276.172</v>
      </c>
      <c r="V5" s="334">
        <f t="shared" si="1"/>
        <v>26909.212</v>
      </c>
      <c r="W5" s="334">
        <f t="shared" si="1"/>
        <v>32709.212</v>
      </c>
      <c r="X5" s="334">
        <f t="shared" si="1"/>
        <v>36630.812</v>
      </c>
      <c r="Y5" s="334">
        <f t="shared" si="1"/>
        <v>39041.462</v>
      </c>
    </row>
    <row r="6" spans="1:25" ht="12">
      <c r="A6" s="333" t="s">
        <v>162</v>
      </c>
      <c r="B6" s="334">
        <f>SUM(B7:B32)</f>
        <v>22583.968</v>
      </c>
      <c r="C6" s="334">
        <f aca="true" t="shared" si="2" ref="C6:Y6">SUM(C7:C32)</f>
        <v>22729.272</v>
      </c>
      <c r="D6" s="334">
        <f t="shared" si="2"/>
        <v>22317.071999999996</v>
      </c>
      <c r="E6" s="334">
        <f t="shared" si="2"/>
        <v>25509.832</v>
      </c>
      <c r="F6" s="334">
        <f t="shared" si="2"/>
        <v>30939.472</v>
      </c>
      <c r="G6" s="334">
        <f t="shared" si="2"/>
        <v>30586.672</v>
      </c>
      <c r="H6" s="334">
        <f t="shared" si="2"/>
        <v>32062.072</v>
      </c>
      <c r="I6" s="334">
        <f t="shared" si="2"/>
        <v>23951.672</v>
      </c>
      <c r="J6" s="334">
        <f t="shared" si="2"/>
        <v>23584.712</v>
      </c>
      <c r="K6" s="334">
        <f t="shared" si="2"/>
        <v>29384.712</v>
      </c>
      <c r="L6" s="334">
        <f t="shared" si="2"/>
        <v>33306.312</v>
      </c>
      <c r="M6" s="334">
        <f t="shared" si="2"/>
        <v>34054.712</v>
      </c>
      <c r="N6" s="334">
        <f t="shared" si="2"/>
        <v>22517.468</v>
      </c>
      <c r="O6" s="334">
        <f t="shared" si="2"/>
        <v>22691.272</v>
      </c>
      <c r="P6" s="334">
        <f t="shared" si="2"/>
        <v>22317.071999999996</v>
      </c>
      <c r="Q6" s="334">
        <f t="shared" si="2"/>
        <v>25509.832</v>
      </c>
      <c r="R6" s="334">
        <f t="shared" si="2"/>
        <v>30939.472</v>
      </c>
      <c r="S6" s="334">
        <f t="shared" si="2"/>
        <v>30586.672</v>
      </c>
      <c r="T6" s="334">
        <f t="shared" si="2"/>
        <v>32062.072</v>
      </c>
      <c r="U6" s="334">
        <f t="shared" si="2"/>
        <v>23951.672</v>
      </c>
      <c r="V6" s="334">
        <f t="shared" si="2"/>
        <v>23584.712</v>
      </c>
      <c r="W6" s="334">
        <f t="shared" si="2"/>
        <v>29384.712</v>
      </c>
      <c r="X6" s="334">
        <f t="shared" si="2"/>
        <v>33306.312</v>
      </c>
      <c r="Y6" s="334">
        <f t="shared" si="2"/>
        <v>34054.712</v>
      </c>
    </row>
    <row r="7" spans="1:25" ht="12">
      <c r="A7" s="143" t="str">
        <f>'ELAB DE PRECIO'!A6</f>
        <v>Melamina</v>
      </c>
      <c r="B7" s="312">
        <f>('ELAB DE PRECIO'!$E$6*'INGRESO POR VENTAS'!B4)+('ELAB DE PRECIO'!$E$25*'INGRESO POR VENTAS'!B5)+('INGRESO POR VENTAS'!B6*'ELAB DE PRECIO'!$E$41)+('ELAB DE PRECIO'!$E$56*'INGRESO POR VENTAS'!B7)+('INGRESO POR VENTAS'!B8*'ELAB DE PRECIO'!$E$81)+('ELAB DE PRECIO'!$E$97*'INGRESO POR VENTAS'!B9)+('INGRESO POR VENTAS'!B10*'ELAB DE PRECIO'!$E$111)</f>
        <v>5760</v>
      </c>
      <c r="C7" s="312">
        <f>('ELAB DE PRECIO'!$E$6*'INGRESO POR VENTAS'!C4)+('ELAB DE PRECIO'!$E$25*'INGRESO POR VENTAS'!C5)+('INGRESO POR VENTAS'!C6*'ELAB DE PRECIO'!$E$41)+('ELAB DE PRECIO'!$E$56*'INGRESO POR VENTAS'!C7)+('INGRESO POR VENTAS'!C8*'ELAB DE PRECIO'!$E$81)+('ELAB DE PRECIO'!$E$97*'INGRESO POR VENTAS'!C9)+('INGRESO POR VENTAS'!C10*'ELAB DE PRECIO'!$E$111)</f>
        <v>5520</v>
      </c>
      <c r="D7" s="312">
        <f>('ELAB DE PRECIO'!$E$6*'INGRESO POR VENTAS'!D4)+('ELAB DE PRECIO'!$E$25*'INGRESO POR VENTAS'!D5)+('INGRESO POR VENTAS'!D6*'ELAB DE PRECIO'!$E$41)+('ELAB DE PRECIO'!$E$56*'INGRESO POR VENTAS'!D7)+('INGRESO POR VENTAS'!D8*'ELAB DE PRECIO'!$E$81)+('ELAB DE PRECIO'!$E$97*'INGRESO POR VENTAS'!D9)+('INGRESO POR VENTAS'!D10*'ELAB DE PRECIO'!$E$111)</f>
        <v>5200</v>
      </c>
      <c r="E7" s="312">
        <f>('ELAB DE PRECIO'!$E$6*'INGRESO POR VENTAS'!E4)+('ELAB DE PRECIO'!$E$25*'INGRESO POR VENTAS'!E5)+('INGRESO POR VENTAS'!E6*'ELAB DE PRECIO'!$E$41)+('ELAB DE PRECIO'!$E$56*'INGRESO POR VENTAS'!E7)+('INGRESO POR VENTAS'!E8*'ELAB DE PRECIO'!$E$81)+('ELAB DE PRECIO'!$E$97*'INGRESO POR VENTAS'!E9)+('INGRESO POR VENTAS'!E10*'ELAB DE PRECIO'!$E$111)</f>
        <v>5120</v>
      </c>
      <c r="F7" s="312">
        <f>('ELAB DE PRECIO'!$E$6*'INGRESO POR VENTAS'!F4)+('ELAB DE PRECIO'!$E$25*'INGRESO POR VENTAS'!F5)+('INGRESO POR VENTAS'!F6*'ELAB DE PRECIO'!$E$41)+('ELAB DE PRECIO'!$E$56*'INGRESO POR VENTAS'!F7)+('INGRESO POR VENTAS'!F8*'ELAB DE PRECIO'!$E$81)+('ELAB DE PRECIO'!$E$97*'INGRESO POR VENTAS'!F9)+('INGRESO POR VENTAS'!F10*'ELAB DE PRECIO'!$E$111)</f>
        <v>4960</v>
      </c>
      <c r="G7" s="312">
        <f>('ELAB DE PRECIO'!$E$6*'INGRESO POR VENTAS'!G4)+('ELAB DE PRECIO'!$E$25*'INGRESO POR VENTAS'!G5)+('INGRESO POR VENTAS'!G6*'ELAB DE PRECIO'!$E$41)+('ELAB DE PRECIO'!$E$56*'INGRESO POR VENTAS'!G7)+('INGRESO POR VENTAS'!G8*'ELAB DE PRECIO'!$E$81)+('ELAB DE PRECIO'!$E$97*'INGRESO POR VENTAS'!G9)+('INGRESO POR VENTAS'!G10*'ELAB DE PRECIO'!$E$111)</f>
        <v>4640</v>
      </c>
      <c r="H7" s="312">
        <f>('ELAB DE PRECIO'!$E$6*'INGRESO POR VENTAS'!H4)+('ELAB DE PRECIO'!$E$25*'INGRESO POR VENTAS'!H5)+('INGRESO POR VENTAS'!H6*'ELAB DE PRECIO'!$E$41)+('ELAB DE PRECIO'!$E$56*'INGRESO POR VENTAS'!H7)+('INGRESO POR VENTAS'!H8*'ELAB DE PRECIO'!$E$81)+('ELAB DE PRECIO'!$E$97*'INGRESO POR VENTAS'!H9)+('INGRESO POR VENTAS'!H10*'ELAB DE PRECIO'!$E$111)</f>
        <v>5920</v>
      </c>
      <c r="I7" s="312">
        <f>('ELAB DE PRECIO'!$E$6*'INGRESO POR VENTAS'!I4)+('ELAB DE PRECIO'!$E$25*'INGRESO POR VENTAS'!I5)+('INGRESO POR VENTAS'!I6*'ELAB DE PRECIO'!$E$41)+('ELAB DE PRECIO'!$E$56*'INGRESO POR VENTAS'!I7)+('INGRESO POR VENTAS'!I8*'ELAB DE PRECIO'!$E$81)+('ELAB DE PRECIO'!$E$97*'INGRESO POR VENTAS'!I9)+('INGRESO POR VENTAS'!I10*'ELAB DE PRECIO'!$E$111)</f>
        <v>5840</v>
      </c>
      <c r="J7" s="312">
        <f>('ELAB DE PRECIO'!$E$6*'INGRESO POR VENTAS'!J4)+('ELAB DE PRECIO'!$E$25*'INGRESO POR VENTAS'!J5)+('INGRESO POR VENTAS'!J6*'ELAB DE PRECIO'!$E$41)+('ELAB DE PRECIO'!$E$56*'INGRESO POR VENTAS'!J7)+('INGRESO POR VENTAS'!J8*'ELAB DE PRECIO'!$E$81)+('ELAB DE PRECIO'!$E$97*'INGRESO POR VENTAS'!J9)+('INGRESO POR VENTAS'!J10*'ELAB DE PRECIO'!$E$111)</f>
        <v>5600</v>
      </c>
      <c r="K7" s="312">
        <f>('ELAB DE PRECIO'!$E$6*'INGRESO POR VENTAS'!K4)+('ELAB DE PRECIO'!$E$25*'INGRESO POR VENTAS'!K5)+('INGRESO POR VENTAS'!K6*'ELAB DE PRECIO'!$E$41)+('ELAB DE PRECIO'!$E$56*'INGRESO POR VENTAS'!K7)+('INGRESO POR VENTAS'!K8*'ELAB DE PRECIO'!$E$81)+('ELAB DE PRECIO'!$E$97*'INGRESO POR VENTAS'!K9)+('INGRESO POR VENTAS'!K10*'ELAB DE PRECIO'!$E$111)</f>
        <v>5600</v>
      </c>
      <c r="L7" s="312">
        <f>('ELAB DE PRECIO'!$E$6*'INGRESO POR VENTAS'!L4)+('ELAB DE PRECIO'!$E$25*'INGRESO POR VENTAS'!L5)+('INGRESO POR VENTAS'!L6*'ELAB DE PRECIO'!$E$41)+('ELAB DE PRECIO'!$E$56*'INGRESO POR VENTAS'!L7)+('INGRESO POR VENTAS'!L8*'ELAB DE PRECIO'!$E$81)+('ELAB DE PRECIO'!$E$97*'INGRESO POR VENTAS'!L9)+('INGRESO POR VENTAS'!L10*'ELAB DE PRECIO'!$E$111)</f>
        <v>5440</v>
      </c>
      <c r="M7" s="312">
        <f>('ELAB DE PRECIO'!$E$6*'INGRESO POR VENTAS'!M4)+('ELAB DE PRECIO'!$E$25*'INGRESO POR VENTAS'!M5)+('INGRESO POR VENTAS'!M6*'ELAB DE PRECIO'!$E$41)+('ELAB DE PRECIO'!$E$56*'INGRESO POR VENTAS'!M7)+('INGRESO POR VENTAS'!M8*'ELAB DE PRECIO'!$E$81)+('ELAB DE PRECIO'!$E$97*'INGRESO POR VENTAS'!M9)+('INGRESO POR VENTAS'!M10*'ELAB DE PRECIO'!$E$111)</f>
        <v>6080</v>
      </c>
      <c r="N7" s="312">
        <f>('ELAB DE PRECIO'!$E$6*'INGRESO POR VENTAS'!N4)+('ELAB DE PRECIO'!$E$25*'INGRESO POR VENTAS'!N5)+('INGRESO POR VENTAS'!N6*'ELAB DE PRECIO'!$E$41)+('ELAB DE PRECIO'!$E$56*'INGRESO POR VENTAS'!N7)+('INGRESO POR VENTAS'!N8*'ELAB DE PRECIO'!$E$81)+('ELAB DE PRECIO'!$E$97*'INGRESO POR VENTAS'!N9)+('INGRESO POR VENTAS'!N10*'ELAB DE PRECIO'!$E$111)</f>
        <v>5760</v>
      </c>
      <c r="O7" s="312">
        <f>('ELAB DE PRECIO'!$E$6*'INGRESO POR VENTAS'!O4)+('ELAB DE PRECIO'!$E$25*'INGRESO POR VENTAS'!O5)+('INGRESO POR VENTAS'!O6*'ELAB DE PRECIO'!$E$41)+('ELAB DE PRECIO'!$E$56*'INGRESO POR VENTAS'!O7)+('INGRESO POR VENTAS'!O8*'ELAB DE PRECIO'!$E$81)+('ELAB DE PRECIO'!$E$97*'INGRESO POR VENTAS'!O9)+('INGRESO POR VENTAS'!O10*'ELAB DE PRECIO'!$E$111)</f>
        <v>5520</v>
      </c>
      <c r="P7" s="312">
        <f>('ELAB DE PRECIO'!$E$6*'INGRESO POR VENTAS'!P4)+('ELAB DE PRECIO'!$E$25*'INGRESO POR VENTAS'!P5)+('INGRESO POR VENTAS'!P6*'ELAB DE PRECIO'!$E$41)+('ELAB DE PRECIO'!$E$56*'INGRESO POR VENTAS'!P7)+('INGRESO POR VENTAS'!P8*'ELAB DE PRECIO'!$E$81)+('ELAB DE PRECIO'!$E$97*'INGRESO POR VENTAS'!P9)+('INGRESO POR VENTAS'!P10*'ELAB DE PRECIO'!$E$111)</f>
        <v>5200</v>
      </c>
      <c r="Q7" s="312">
        <f>('ELAB DE PRECIO'!$E$6*'INGRESO POR VENTAS'!Q4)+('ELAB DE PRECIO'!$E$25*'INGRESO POR VENTAS'!Q5)+('INGRESO POR VENTAS'!Q6*'ELAB DE PRECIO'!$E$41)+('ELAB DE PRECIO'!$E$56*'INGRESO POR VENTAS'!Q7)+('INGRESO POR VENTAS'!Q8*'ELAB DE PRECIO'!$E$81)+('ELAB DE PRECIO'!$E$97*'INGRESO POR VENTAS'!Q9)+('INGRESO POR VENTAS'!Q10*'ELAB DE PRECIO'!$E$111)</f>
        <v>5120</v>
      </c>
      <c r="R7" s="312">
        <f>('ELAB DE PRECIO'!$E$6*'INGRESO POR VENTAS'!R4)+('ELAB DE PRECIO'!$E$25*'INGRESO POR VENTAS'!R5)+('INGRESO POR VENTAS'!R6*'ELAB DE PRECIO'!$E$41)+('ELAB DE PRECIO'!$E$56*'INGRESO POR VENTAS'!R7)+('INGRESO POR VENTAS'!R8*'ELAB DE PRECIO'!$E$81)+('ELAB DE PRECIO'!$E$97*'INGRESO POR VENTAS'!R9)+('INGRESO POR VENTAS'!R10*'ELAB DE PRECIO'!$E$111)</f>
        <v>4960</v>
      </c>
      <c r="S7" s="312">
        <f>('ELAB DE PRECIO'!$E$6*'INGRESO POR VENTAS'!S4)+('ELAB DE PRECIO'!$E$25*'INGRESO POR VENTAS'!S5)+('INGRESO POR VENTAS'!S6*'ELAB DE PRECIO'!$E$41)+('ELAB DE PRECIO'!$E$56*'INGRESO POR VENTAS'!S7)+('INGRESO POR VENTAS'!S8*'ELAB DE PRECIO'!$E$81)+('ELAB DE PRECIO'!$E$97*'INGRESO POR VENTAS'!S9)+('INGRESO POR VENTAS'!S10*'ELAB DE PRECIO'!$E$111)</f>
        <v>4640</v>
      </c>
      <c r="T7" s="312">
        <f>('ELAB DE PRECIO'!$E$6*'INGRESO POR VENTAS'!T4)+('ELAB DE PRECIO'!$E$25*'INGRESO POR VENTAS'!T5)+('INGRESO POR VENTAS'!T6*'ELAB DE PRECIO'!$E$41)+('ELAB DE PRECIO'!$E$56*'INGRESO POR VENTAS'!T7)+('INGRESO POR VENTAS'!T8*'ELAB DE PRECIO'!$E$81)+('ELAB DE PRECIO'!$E$97*'INGRESO POR VENTAS'!T9)+('INGRESO POR VENTAS'!T10*'ELAB DE PRECIO'!$E$111)</f>
        <v>5920</v>
      </c>
      <c r="U7" s="312">
        <f>('ELAB DE PRECIO'!$E$6*'INGRESO POR VENTAS'!U4)+('ELAB DE PRECIO'!$E$25*'INGRESO POR VENTAS'!U5)+('INGRESO POR VENTAS'!U6*'ELAB DE PRECIO'!$E$41)+('ELAB DE PRECIO'!$E$56*'INGRESO POR VENTAS'!U7)+('INGRESO POR VENTAS'!U8*'ELAB DE PRECIO'!$E$81)+('ELAB DE PRECIO'!$E$97*'INGRESO POR VENTAS'!U9)+('INGRESO POR VENTAS'!U10*'ELAB DE PRECIO'!$E$111)</f>
        <v>5840</v>
      </c>
      <c r="V7" s="312">
        <f>('ELAB DE PRECIO'!$E$6*'INGRESO POR VENTAS'!V4)+('ELAB DE PRECIO'!$E$25*'INGRESO POR VENTAS'!V5)+('INGRESO POR VENTAS'!V6*'ELAB DE PRECIO'!$E$41)+('ELAB DE PRECIO'!$E$56*'INGRESO POR VENTAS'!V7)+('INGRESO POR VENTAS'!V8*'ELAB DE PRECIO'!$E$81)+('ELAB DE PRECIO'!$E$97*'INGRESO POR VENTAS'!V9)+('INGRESO POR VENTAS'!V10*'ELAB DE PRECIO'!$E$111)</f>
        <v>5600</v>
      </c>
      <c r="W7" s="312">
        <f>('ELAB DE PRECIO'!$E$6*'INGRESO POR VENTAS'!W4)+('ELAB DE PRECIO'!$E$25*'INGRESO POR VENTAS'!W5)+('INGRESO POR VENTAS'!W6*'ELAB DE PRECIO'!$E$41)+('ELAB DE PRECIO'!$E$56*'INGRESO POR VENTAS'!W7)+('INGRESO POR VENTAS'!W8*'ELAB DE PRECIO'!$E$81)+('ELAB DE PRECIO'!$E$97*'INGRESO POR VENTAS'!W9)+('INGRESO POR VENTAS'!W10*'ELAB DE PRECIO'!$E$111)</f>
        <v>5600</v>
      </c>
      <c r="X7" s="312">
        <f>('ELAB DE PRECIO'!$E$6*'INGRESO POR VENTAS'!X4)+('ELAB DE PRECIO'!$E$25*'INGRESO POR VENTAS'!X5)+('INGRESO POR VENTAS'!X6*'ELAB DE PRECIO'!$E$41)+('ELAB DE PRECIO'!$E$56*'INGRESO POR VENTAS'!X7)+('INGRESO POR VENTAS'!X8*'ELAB DE PRECIO'!$E$81)+('ELAB DE PRECIO'!$E$97*'INGRESO POR VENTAS'!X9)+('INGRESO POR VENTAS'!X10*'ELAB DE PRECIO'!$E$111)</f>
        <v>5440</v>
      </c>
      <c r="Y7" s="312">
        <f>('ELAB DE PRECIO'!$E$6*'INGRESO POR VENTAS'!Y4)+('ELAB DE PRECIO'!$E$25*'INGRESO POR VENTAS'!Y5)+('INGRESO POR VENTAS'!Y6*'ELAB DE PRECIO'!$E$41)+('ELAB DE PRECIO'!$E$56*'INGRESO POR VENTAS'!Y7)+('INGRESO POR VENTAS'!Y8*'ELAB DE PRECIO'!$E$81)+('ELAB DE PRECIO'!$E$97*'INGRESO POR VENTAS'!Y9)+('INGRESO POR VENTAS'!Y10*'ELAB DE PRECIO'!$E$111)</f>
        <v>6080</v>
      </c>
    </row>
    <row r="8" spans="1:25" ht="12">
      <c r="A8" s="143" t="str">
        <f>'ELAB DE PRECIO'!A7</f>
        <v>Nordex</v>
      </c>
      <c r="B8" s="312">
        <f>('ELAB DE PRECIO'!$E$7*'INGRESO POR VENTAS'!B4)+('INGRESO POR VENTAS'!B5*'ELAB DE PRECIO'!$E$26)+('ELAB DE PRECIO'!$E$42*'INGRESO POR VENTAS'!B6)+('INGRESO POR VENTAS'!B7*'ELAB DE PRECIO'!$E$57)+('ELAB DE PRECIO'!$E$82*'INGRESO POR VENTAS'!B8)+('ELAB DE PRECIO'!$E$98*'INGRESO POR VENTAS'!B9)+('ELAB DE PRECIO'!$E$112*'INGRESO POR VENTAS'!B10)</f>
        <v>456</v>
      </c>
      <c r="C8" s="312">
        <f>('ELAB DE PRECIO'!$E$7*'INGRESO POR VENTAS'!C4)+('INGRESO POR VENTAS'!C5*'ELAB DE PRECIO'!$E$26)+('ELAB DE PRECIO'!$E$42*'INGRESO POR VENTAS'!C6)+('INGRESO POR VENTAS'!C7*'ELAB DE PRECIO'!$E$57)+('ELAB DE PRECIO'!$E$82*'INGRESO POR VENTAS'!C8)+('ELAB DE PRECIO'!$E$98*'INGRESO POR VENTAS'!C9)+('ELAB DE PRECIO'!$E$112*'INGRESO POR VENTAS'!C10)</f>
        <v>437</v>
      </c>
      <c r="D8" s="312">
        <f>('ELAB DE PRECIO'!$E$7*'INGRESO POR VENTAS'!D4)+('INGRESO POR VENTAS'!D5*'ELAB DE PRECIO'!$E$26)+('ELAB DE PRECIO'!$E$42*'INGRESO POR VENTAS'!D6)+('INGRESO POR VENTAS'!D7*'ELAB DE PRECIO'!$E$57)+('ELAB DE PRECIO'!$E$82*'INGRESO POR VENTAS'!D8)+('ELAB DE PRECIO'!$E$98*'INGRESO POR VENTAS'!D9)+('ELAB DE PRECIO'!$E$112)</f>
        <v>380</v>
      </c>
      <c r="E8" s="312">
        <f>('ELAB DE PRECIO'!$E$7*'INGRESO POR VENTAS'!E4)+('INGRESO POR VENTAS'!E5*'ELAB DE PRECIO'!$E$26)+('ELAB DE PRECIO'!$E$42*'INGRESO POR VENTAS'!E6)+('INGRESO POR VENTAS'!E7*'ELAB DE PRECIO'!$E$57)+('ELAB DE PRECIO'!$E$82*'INGRESO POR VENTAS'!E8)+('ELAB DE PRECIO'!$E$98*'INGRESO POR VENTAS'!E9)+('ELAB DE PRECIO'!$E$112)</f>
        <v>361</v>
      </c>
      <c r="F8" s="312">
        <f>('ELAB DE PRECIO'!$E$7*'INGRESO POR VENTAS'!F4)+('INGRESO POR VENTAS'!F5*'ELAB DE PRECIO'!$E$26)+('ELAB DE PRECIO'!$E$42*'INGRESO POR VENTAS'!F6)+('INGRESO POR VENTAS'!F7*'ELAB DE PRECIO'!$E$57)+('ELAB DE PRECIO'!$E$82*'INGRESO POR VENTAS'!F8)+('ELAB DE PRECIO'!$E$98*'INGRESO POR VENTAS'!F9)+('ELAB DE PRECIO'!$E$112)</f>
        <v>342</v>
      </c>
      <c r="G8" s="312">
        <f>('ELAB DE PRECIO'!$E$7*'INGRESO POR VENTAS'!G4)+('INGRESO POR VENTAS'!G5*'ELAB DE PRECIO'!$E$26)+('ELAB DE PRECIO'!$E$42*'INGRESO POR VENTAS'!G6)+('INGRESO POR VENTAS'!G7*'ELAB DE PRECIO'!$E$57)+('ELAB DE PRECIO'!$E$82*'INGRESO POR VENTAS'!G8)+('ELAB DE PRECIO'!$E$98*'INGRESO POR VENTAS'!G9)+('ELAB DE PRECIO'!$E$112)</f>
        <v>351.5</v>
      </c>
      <c r="H8" s="312">
        <f>('ELAB DE PRECIO'!$E$7*'INGRESO POR VENTAS'!H4)+('INGRESO POR VENTAS'!H5*'ELAB DE PRECIO'!$E$26)+('ELAB DE PRECIO'!$E$42*'INGRESO POR VENTAS'!H6)+('INGRESO POR VENTAS'!H7*'ELAB DE PRECIO'!$E$57)+('ELAB DE PRECIO'!$E$82*'INGRESO POR VENTAS'!H8)+('ELAB DE PRECIO'!$E$98*'INGRESO POR VENTAS'!H9)+('ELAB DE PRECIO'!$E$112)</f>
        <v>399</v>
      </c>
      <c r="I8" s="312">
        <f>('ELAB DE PRECIO'!$E$7*'INGRESO POR VENTAS'!I4)+('INGRESO POR VENTAS'!I5*'ELAB DE PRECIO'!$E$26)+('ELAB DE PRECIO'!$E$42*'INGRESO POR VENTAS'!I6)+('INGRESO POR VENTAS'!I7*'ELAB DE PRECIO'!$E$57)+('ELAB DE PRECIO'!$E$82*'INGRESO POR VENTAS'!I8)+('ELAB DE PRECIO'!$E$98*'INGRESO POR VENTAS'!I9)+('ELAB DE PRECIO'!$E$112)</f>
        <v>446.5</v>
      </c>
      <c r="J8" s="312">
        <f>('ELAB DE PRECIO'!$E$7*'INGRESO POR VENTAS'!J4)+('INGRESO POR VENTAS'!J5*'ELAB DE PRECIO'!$E$26)+('ELAB DE PRECIO'!$E$42*'INGRESO POR VENTAS'!J6)+('INGRESO POR VENTAS'!J7*'ELAB DE PRECIO'!$E$57)+('ELAB DE PRECIO'!$E$82*'INGRESO POR VENTAS'!J8)+('ELAB DE PRECIO'!$E$98*'INGRESO POR VENTAS'!J9)+('ELAB DE PRECIO'!$E$112)</f>
        <v>446.5</v>
      </c>
      <c r="K8" s="312">
        <f>('ELAB DE PRECIO'!$E$7*'INGRESO POR VENTAS'!K4)+('INGRESO POR VENTAS'!K5*'ELAB DE PRECIO'!$E$26)+('ELAB DE PRECIO'!$E$42*'INGRESO POR VENTAS'!K6)+('INGRESO POR VENTAS'!K7*'ELAB DE PRECIO'!$E$57)+('ELAB DE PRECIO'!$E$82*'INGRESO POR VENTAS'!K8)+('ELAB DE PRECIO'!$E$98*'INGRESO POR VENTAS'!K9)+('ELAB DE PRECIO'!$E$112)</f>
        <v>446.5</v>
      </c>
      <c r="L8" s="312">
        <f>('ELAB DE PRECIO'!$E$7*'INGRESO POR VENTAS'!L4)+('INGRESO POR VENTAS'!L5*'ELAB DE PRECIO'!$E$26)+('ELAB DE PRECIO'!$E$42*'INGRESO POR VENTAS'!L6)+('INGRESO POR VENTAS'!L7*'ELAB DE PRECIO'!$E$57)+('ELAB DE PRECIO'!$E$82*'INGRESO POR VENTAS'!L8)+('ELAB DE PRECIO'!$E$98*'INGRESO POR VENTAS'!L9)+('ELAB DE PRECIO'!$E$112)</f>
        <v>484.5</v>
      </c>
      <c r="M8" s="312">
        <f>('ELAB DE PRECIO'!$E$7*'INGRESO POR VENTAS'!M4)+('INGRESO POR VENTAS'!M5*'ELAB DE PRECIO'!$E$26)+('ELAB DE PRECIO'!$E$42*'INGRESO POR VENTAS'!M6)+('INGRESO POR VENTAS'!M7*'ELAB DE PRECIO'!$E$57)+('ELAB DE PRECIO'!$E$82*'INGRESO POR VENTAS'!M8)+('ELAB DE PRECIO'!$E$98*'INGRESO POR VENTAS'!M9)+('ELAB DE PRECIO'!$E$112)</f>
        <v>522.5</v>
      </c>
      <c r="N8" s="312">
        <f>('ELAB DE PRECIO'!$E$7*'INGRESO POR VENTAS'!N4)+('INGRESO POR VENTAS'!N5*'ELAB DE PRECIO'!$E$26)+('ELAB DE PRECIO'!$E$42*'INGRESO POR VENTAS'!N6)+('INGRESO POR VENTAS'!N7*'ELAB DE PRECIO'!$E$57)+('ELAB DE PRECIO'!$E$82*'INGRESO POR VENTAS'!N8)+('ELAB DE PRECIO'!$E$98*'INGRESO POR VENTAS'!N9)+('ELAB DE PRECIO'!$E$112)</f>
        <v>389.5</v>
      </c>
      <c r="O8" s="312">
        <f>('ELAB DE PRECIO'!$E$7*'INGRESO POR VENTAS'!O4)+('INGRESO POR VENTAS'!O5*'ELAB DE PRECIO'!$E$26)+('ELAB DE PRECIO'!$E$42*'INGRESO POR VENTAS'!O6)+('INGRESO POR VENTAS'!O7*'ELAB DE PRECIO'!$E$57)+('ELAB DE PRECIO'!$E$82*'INGRESO POR VENTAS'!O8)+('ELAB DE PRECIO'!$E$98*'INGRESO POR VENTAS'!O9)+('ELAB DE PRECIO'!$E$112)</f>
        <v>399</v>
      </c>
      <c r="P8" s="312">
        <f>('ELAB DE PRECIO'!$E$7*'INGRESO POR VENTAS'!P4)+('INGRESO POR VENTAS'!P5*'ELAB DE PRECIO'!$E$26)+('ELAB DE PRECIO'!$E$42*'INGRESO POR VENTAS'!P6)+('INGRESO POR VENTAS'!P7*'ELAB DE PRECIO'!$E$57)+('ELAB DE PRECIO'!$E$82*'INGRESO POR VENTAS'!P8)+('ELAB DE PRECIO'!$E$98*'INGRESO POR VENTAS'!P9)+('ELAB DE PRECIO'!$E$112)</f>
        <v>380</v>
      </c>
      <c r="Q8" s="312">
        <f>('ELAB DE PRECIO'!$E$7*'INGRESO POR VENTAS'!Q4)+('INGRESO POR VENTAS'!Q5*'ELAB DE PRECIO'!$E$26)+('ELAB DE PRECIO'!$E$42*'INGRESO POR VENTAS'!Q6)+('INGRESO POR VENTAS'!Q7*'ELAB DE PRECIO'!$E$57)+('ELAB DE PRECIO'!$E$82*'INGRESO POR VENTAS'!Q8)+('ELAB DE PRECIO'!$E$98*'INGRESO POR VENTAS'!Q9)+('ELAB DE PRECIO'!$E$112)</f>
        <v>361</v>
      </c>
      <c r="R8" s="312">
        <f>('ELAB DE PRECIO'!$E$7*'INGRESO POR VENTAS'!R4)+('INGRESO POR VENTAS'!R5*'ELAB DE PRECIO'!$E$26)+('ELAB DE PRECIO'!$E$42*'INGRESO POR VENTAS'!R6)+('INGRESO POR VENTAS'!R7*'ELAB DE PRECIO'!$E$57)+('ELAB DE PRECIO'!$E$82*'INGRESO POR VENTAS'!R8)+('ELAB DE PRECIO'!$E$98*'INGRESO POR VENTAS'!R9)+('ELAB DE PRECIO'!$E$112)</f>
        <v>342</v>
      </c>
      <c r="S8" s="312">
        <f>('ELAB DE PRECIO'!$E$7*'INGRESO POR VENTAS'!S4)+('INGRESO POR VENTAS'!S5*'ELAB DE PRECIO'!$E$26)+('ELAB DE PRECIO'!$E$42*'INGRESO POR VENTAS'!S6)+('INGRESO POR VENTAS'!S7*'ELAB DE PRECIO'!$E$57)+('ELAB DE PRECIO'!$E$82*'INGRESO POR VENTAS'!S8)+('ELAB DE PRECIO'!$E$98*'INGRESO POR VENTAS'!S9)+('ELAB DE PRECIO'!$E$112)</f>
        <v>351.5</v>
      </c>
      <c r="T8" s="312">
        <f>('ELAB DE PRECIO'!$E$7*'INGRESO POR VENTAS'!T4)+('INGRESO POR VENTAS'!T5*'ELAB DE PRECIO'!$E$26)+('ELAB DE PRECIO'!$E$42*'INGRESO POR VENTAS'!T6)+('INGRESO POR VENTAS'!T7*'ELAB DE PRECIO'!$E$57)+('ELAB DE PRECIO'!$E$82*'INGRESO POR VENTAS'!T8)+('ELAB DE PRECIO'!$E$98*'INGRESO POR VENTAS'!T9)+('ELAB DE PRECIO'!$E$112)</f>
        <v>399</v>
      </c>
      <c r="U8" s="312">
        <f>('ELAB DE PRECIO'!$E$7*'INGRESO POR VENTAS'!U4)+('INGRESO POR VENTAS'!U5*'ELAB DE PRECIO'!$E$26)+('ELAB DE PRECIO'!$E$42*'INGRESO POR VENTAS'!U6)+('INGRESO POR VENTAS'!U7*'ELAB DE PRECIO'!$E$57)+('ELAB DE PRECIO'!$E$82*'INGRESO POR VENTAS'!U8)+('ELAB DE PRECIO'!$E$98*'INGRESO POR VENTAS'!U9)+('ELAB DE PRECIO'!$E$112)</f>
        <v>446.5</v>
      </c>
      <c r="V8" s="312">
        <f>('ELAB DE PRECIO'!$E$7*'INGRESO POR VENTAS'!V4)+('INGRESO POR VENTAS'!V5*'ELAB DE PRECIO'!$E$26)+('ELAB DE PRECIO'!$E$42*'INGRESO POR VENTAS'!V6)+('INGRESO POR VENTAS'!V7*'ELAB DE PRECIO'!$E$57)+('ELAB DE PRECIO'!$E$82*'INGRESO POR VENTAS'!V8)+('ELAB DE PRECIO'!$E$98*'INGRESO POR VENTAS'!V9)+('ELAB DE PRECIO'!$E$112)</f>
        <v>446.5</v>
      </c>
      <c r="W8" s="312">
        <f>('ELAB DE PRECIO'!$E$7*'INGRESO POR VENTAS'!W4)+('INGRESO POR VENTAS'!W5*'ELAB DE PRECIO'!$E$26)+('ELAB DE PRECIO'!$E$42*'INGRESO POR VENTAS'!W6)+('INGRESO POR VENTAS'!W7*'ELAB DE PRECIO'!$E$57)+('ELAB DE PRECIO'!$E$82*'INGRESO POR VENTAS'!W8)+('ELAB DE PRECIO'!$E$98*'INGRESO POR VENTAS'!W9)+('ELAB DE PRECIO'!$E$112)</f>
        <v>446.5</v>
      </c>
      <c r="X8" s="312">
        <f>('ELAB DE PRECIO'!$E$7*'INGRESO POR VENTAS'!X4)+('INGRESO POR VENTAS'!X5*'ELAB DE PRECIO'!$E$26)+('ELAB DE PRECIO'!$E$42*'INGRESO POR VENTAS'!X6)+('INGRESO POR VENTAS'!X7*'ELAB DE PRECIO'!$E$57)+('ELAB DE PRECIO'!$E$82*'INGRESO POR VENTAS'!X8)+('ELAB DE PRECIO'!$E$98*'INGRESO POR VENTAS'!X9)+('ELAB DE PRECIO'!$E$112)</f>
        <v>484.5</v>
      </c>
      <c r="Y8" s="312">
        <f>('ELAB DE PRECIO'!$E$7*'INGRESO POR VENTAS'!Y4)+('INGRESO POR VENTAS'!Y5*'ELAB DE PRECIO'!$E$26)+('ELAB DE PRECIO'!$E$42*'INGRESO POR VENTAS'!Y6)+('INGRESO POR VENTAS'!Y7*'ELAB DE PRECIO'!$E$57)+('ELAB DE PRECIO'!$E$82*'INGRESO POR VENTAS'!Y8)+('ELAB DE PRECIO'!$E$98*'INGRESO POR VENTAS'!Y9)+('ELAB DE PRECIO'!$E$112)</f>
        <v>522.5</v>
      </c>
    </row>
    <row r="9" spans="1:25" ht="12">
      <c r="A9" s="143" t="str">
        <f>'ELAB DE PRECIO'!A8</f>
        <v>tapacanto delgado</v>
      </c>
      <c r="B9" s="312">
        <f>('ELAB DE PRECIO'!$E$8*'INGRESO POR VENTAS'!B4)+('ELAB DE PRECIO'!$E$27*'INGRESO POR VENTAS'!B5)+('ELAB DE PRECIO'!$E$68*'INGRESO POR VENTAS'!B7)+('ELAB DE PRECIO'!$D$85*'INGRESO POR VENTAS'!B8)+('ELAB DE PRECIO'!$E$102*'INGRESO POR VENTAS'!B9)</f>
        <v>93.6</v>
      </c>
      <c r="C9" s="312">
        <f>('ELAB DE PRECIO'!$E$8*'INGRESO POR VENTAS'!C4)+('ELAB DE PRECIO'!$E$27*'INGRESO POR VENTAS'!C5)+('ELAB DE PRECIO'!$E$68*'INGRESO POR VENTAS'!C7)+('ELAB DE PRECIO'!$D$85*'INGRESO POR VENTAS'!C8)+('ELAB DE PRECIO'!$E$102*'INGRESO POR VENTAS'!C9)</f>
        <v>92.4</v>
      </c>
      <c r="D9" s="312">
        <f>('ELAB DE PRECIO'!$E$8*'INGRESO POR VENTAS'!D4)+('ELAB DE PRECIO'!$E$27*'INGRESO POR VENTAS'!D5)+('ELAB DE PRECIO'!$E$68*'INGRESO POR VENTAS'!D7)+('ELAB DE PRECIO'!$D$85*'INGRESO POR VENTAS'!D8)+('ELAB DE PRECIO'!$E$102*'INGRESO POR VENTAS'!D9)</f>
        <v>86.4</v>
      </c>
      <c r="E9" s="312">
        <f>('ELAB DE PRECIO'!$E$8*'INGRESO POR VENTAS'!E4)+('ELAB DE PRECIO'!$E$27*'INGRESO POR VENTAS'!E5)+('ELAB DE PRECIO'!$E$68*'INGRESO POR VENTAS'!E7)+('ELAB DE PRECIO'!$D$85*'INGRESO POR VENTAS'!E8)+('ELAB DE PRECIO'!$E$102*'INGRESO POR VENTAS'!E9)</f>
        <v>80.4</v>
      </c>
      <c r="F9" s="312">
        <f>('ELAB DE PRECIO'!$E$8*'INGRESO POR VENTAS'!F4)+('ELAB DE PRECIO'!$E$27*'INGRESO POR VENTAS'!F5)+('ELAB DE PRECIO'!$E$68*'INGRESO POR VENTAS'!F7)+('ELAB DE PRECIO'!$D$85*'INGRESO POR VENTAS'!F8)+('ELAB DE PRECIO'!$E$102*'INGRESO POR VENTAS'!F9)</f>
        <v>80.4</v>
      </c>
      <c r="G9" s="312">
        <f>('ELAB DE PRECIO'!$E$8*'INGRESO POR VENTAS'!G4)+('ELAB DE PRECIO'!$E$27*'INGRESO POR VENTAS'!G5)+('ELAB DE PRECIO'!$E$68*'INGRESO POR VENTAS'!G7)+('ELAB DE PRECIO'!$D$85*'INGRESO POR VENTAS'!G8)+('ELAB DE PRECIO'!$E$102*'INGRESO POR VENTAS'!G9)</f>
        <v>72.9</v>
      </c>
      <c r="H9" s="312">
        <f>('ELAB DE PRECIO'!$E$8*'INGRESO POR VENTAS'!H4)+('ELAB DE PRECIO'!$E$27*'INGRESO POR VENTAS'!H5)+('ELAB DE PRECIO'!$E$68*'INGRESO POR VENTAS'!H7)+('ELAB DE PRECIO'!$D$85*'INGRESO POR VENTAS'!H8)+('ELAB DE PRECIO'!$E$102*'INGRESO POR VENTAS'!H9)</f>
        <v>98.4</v>
      </c>
      <c r="I9" s="312">
        <f>('ELAB DE PRECIO'!$E$8*'INGRESO POR VENTAS'!I4)+('ELAB DE PRECIO'!$E$27*'INGRESO POR VENTAS'!I5)+('ELAB DE PRECIO'!$E$68*'INGRESO POR VENTAS'!I7)+('ELAB DE PRECIO'!$D$85*'INGRESO POR VENTAS'!I8)+('ELAB DE PRECIO'!$E$102*'INGRESO POR VENTAS'!I9)</f>
        <v>90.9</v>
      </c>
      <c r="J9" s="312">
        <f>('ELAB DE PRECIO'!$E$8*'INGRESO POR VENTAS'!J4)+('ELAB DE PRECIO'!$E$27*'INGRESO POR VENTAS'!J5)+('ELAB DE PRECIO'!$E$68*'INGRESO POR VENTAS'!J7)+('ELAB DE PRECIO'!$D$85*'INGRESO POR VENTAS'!J8)+('ELAB DE PRECIO'!$E$102*'INGRESO POR VENTAS'!J9)</f>
        <v>90.9</v>
      </c>
      <c r="K9" s="312">
        <f>('ELAB DE PRECIO'!$E$8*'INGRESO POR VENTAS'!K4)+('ELAB DE PRECIO'!$E$27*'INGRESO POR VENTAS'!K5)+('ELAB DE PRECIO'!$E$68*'INGRESO POR VENTAS'!K7)+('ELAB DE PRECIO'!$D$85*'INGRESO POR VENTAS'!K8)+('ELAB DE PRECIO'!$E$102*'INGRESO POR VENTAS'!K9)</f>
        <v>90.9</v>
      </c>
      <c r="L9" s="312">
        <f>('ELAB DE PRECIO'!$E$8*'INGRESO POR VENTAS'!L4)+('ELAB DE PRECIO'!$E$27*'INGRESO POR VENTAS'!L5)+('ELAB DE PRECIO'!$E$68*'INGRESO POR VENTAS'!L7)+('ELAB DE PRECIO'!$D$85*'INGRESO POR VENTAS'!L8)+('ELAB DE PRECIO'!$E$102*'INGRESO POR VENTAS'!L9)</f>
        <v>84.9</v>
      </c>
      <c r="M9" s="312">
        <f>('ELAB DE PRECIO'!$E$8*'INGRESO POR VENTAS'!M4)+('ELAB DE PRECIO'!$E$27*'INGRESO POR VENTAS'!M5)+('ELAB DE PRECIO'!$E$68*'INGRESO POR VENTAS'!M7)+('ELAB DE PRECIO'!$D$85*'INGRESO POR VENTAS'!M8)+('ELAB DE PRECIO'!$E$102*'INGRESO POR VENTAS'!M9)</f>
        <v>96.9</v>
      </c>
      <c r="N9" s="312">
        <f>('ELAB DE PRECIO'!$E$8*'INGRESO POR VENTAS'!N4)+('ELAB DE PRECIO'!$E$27*'INGRESO POR VENTAS'!N5)+('ELAB DE PRECIO'!$E$68*'INGRESO POR VENTAS'!N7)+('ELAB DE PRECIO'!$D$85*'INGRESO POR VENTAS'!N8)+('ELAB DE PRECIO'!$E$102*'INGRESO POR VENTAS'!N9)</f>
        <v>93.6</v>
      </c>
      <c r="O9" s="312">
        <f>('ELAB DE PRECIO'!$E$8*'INGRESO POR VENTAS'!O4)+('ELAB DE PRECIO'!$E$27*'INGRESO POR VENTAS'!O5)+('ELAB DE PRECIO'!$E$68*'INGRESO POR VENTAS'!O7)+('ELAB DE PRECIO'!$D$85*'INGRESO POR VENTAS'!O8)+('ELAB DE PRECIO'!$E$102*'INGRESO POR VENTAS'!O9)</f>
        <v>92.4</v>
      </c>
      <c r="P9" s="312">
        <f>('ELAB DE PRECIO'!$E$8*'INGRESO POR VENTAS'!P4)+('ELAB DE PRECIO'!$E$27*'INGRESO POR VENTAS'!P5)+('ELAB DE PRECIO'!$E$68*'INGRESO POR VENTAS'!P7)+('ELAB DE PRECIO'!$D$85*'INGRESO POR VENTAS'!P8)+('ELAB DE PRECIO'!$E$102*'INGRESO POR VENTAS'!P9)</f>
        <v>86.4</v>
      </c>
      <c r="Q9" s="312">
        <f>('ELAB DE PRECIO'!$E$8*'INGRESO POR VENTAS'!Q4)+('ELAB DE PRECIO'!$E$27*'INGRESO POR VENTAS'!Q5)+('ELAB DE PRECIO'!$E$68*'INGRESO POR VENTAS'!Q7)+('ELAB DE PRECIO'!$D$85*'INGRESO POR VENTAS'!Q8)+('ELAB DE PRECIO'!$E$102*'INGRESO POR VENTAS'!Q9)</f>
        <v>80.4</v>
      </c>
      <c r="R9" s="312">
        <f>('ELAB DE PRECIO'!$E$8*'INGRESO POR VENTAS'!R4)+('ELAB DE PRECIO'!$E$27*'INGRESO POR VENTAS'!R5)+('ELAB DE PRECIO'!$E$68*'INGRESO POR VENTAS'!R7)+('ELAB DE PRECIO'!$D$85*'INGRESO POR VENTAS'!R8)+('ELAB DE PRECIO'!$E$102*'INGRESO POR VENTAS'!R9)</f>
        <v>80.4</v>
      </c>
      <c r="S9" s="312">
        <f>('ELAB DE PRECIO'!$E$8*'INGRESO POR VENTAS'!S4)+('ELAB DE PRECIO'!$E$27*'INGRESO POR VENTAS'!S5)+('ELAB DE PRECIO'!$E$68*'INGRESO POR VENTAS'!S7)+('ELAB DE PRECIO'!$D$85*'INGRESO POR VENTAS'!S8)+('ELAB DE PRECIO'!$E$102*'INGRESO POR VENTAS'!S9)</f>
        <v>72.9</v>
      </c>
      <c r="T9" s="312">
        <f>('ELAB DE PRECIO'!$E$8*'INGRESO POR VENTAS'!T4)+('ELAB DE PRECIO'!$E$27*'INGRESO POR VENTAS'!T5)+('ELAB DE PRECIO'!$E$68*'INGRESO POR VENTAS'!T7)+('ELAB DE PRECIO'!$D$85*'INGRESO POR VENTAS'!T8)+('ELAB DE PRECIO'!$E$102*'INGRESO POR VENTAS'!T9)</f>
        <v>98.4</v>
      </c>
      <c r="U9" s="312">
        <f>('ELAB DE PRECIO'!$E$8*'INGRESO POR VENTAS'!U4)+('ELAB DE PRECIO'!$E$27*'INGRESO POR VENTAS'!U5)+('ELAB DE PRECIO'!$E$68*'INGRESO POR VENTAS'!U7)+('ELAB DE PRECIO'!$D$85*'INGRESO POR VENTAS'!U8)+('ELAB DE PRECIO'!$E$102*'INGRESO POR VENTAS'!U9)</f>
        <v>90.9</v>
      </c>
      <c r="V9" s="312">
        <f>('ELAB DE PRECIO'!$E$8*'INGRESO POR VENTAS'!V4)+('ELAB DE PRECIO'!$E$27*'INGRESO POR VENTAS'!V5)+('ELAB DE PRECIO'!$E$68*'INGRESO POR VENTAS'!V7)+('ELAB DE PRECIO'!$D$85*'INGRESO POR VENTAS'!V8)+('ELAB DE PRECIO'!$E$102*'INGRESO POR VENTAS'!V9)</f>
        <v>90.9</v>
      </c>
      <c r="W9" s="312">
        <f>('ELAB DE PRECIO'!$E$8*'INGRESO POR VENTAS'!W4)+('ELAB DE PRECIO'!$E$27*'INGRESO POR VENTAS'!W5)+('ELAB DE PRECIO'!$E$68*'INGRESO POR VENTAS'!W7)+('ELAB DE PRECIO'!$D$85*'INGRESO POR VENTAS'!W8)+('ELAB DE PRECIO'!$E$102*'INGRESO POR VENTAS'!W9)</f>
        <v>90.9</v>
      </c>
      <c r="X9" s="312">
        <f>('ELAB DE PRECIO'!$E$8*'INGRESO POR VENTAS'!X4)+('ELAB DE PRECIO'!$E$27*'INGRESO POR VENTAS'!X5)+('ELAB DE PRECIO'!$E$68*'INGRESO POR VENTAS'!X7)+('ELAB DE PRECIO'!$D$85*'INGRESO POR VENTAS'!X8)+('ELAB DE PRECIO'!$E$102*'INGRESO POR VENTAS'!X9)</f>
        <v>84.9</v>
      </c>
      <c r="Y9" s="312">
        <f>('ELAB DE PRECIO'!$E$8*'INGRESO POR VENTAS'!Y4)+('ELAB DE PRECIO'!$E$27*'INGRESO POR VENTAS'!Y5)+('ELAB DE PRECIO'!$E$68*'INGRESO POR VENTAS'!Y7)+('ELAB DE PRECIO'!$D$85*'INGRESO POR VENTAS'!Y8)+('ELAB DE PRECIO'!$E$102*'INGRESO POR VENTAS'!Y9)</f>
        <v>96.9</v>
      </c>
    </row>
    <row r="10" spans="1:25" ht="12">
      <c r="A10" s="143" t="str">
        <f>'ELAB DE PRECIO'!A10</f>
        <v>tornillos 4x50</v>
      </c>
      <c r="B10" s="312">
        <f>('ELAB DE PRECIO'!$E$10*'INGRESO POR VENTAS'!B4)+('ELAB DE PRECIO'!$E$30*'INGRESO POR VENTAS'!B5)+('ELAB DE PRECIO'!$E$43*'INGRESO POR VENTAS'!B6)+('ELAB DE PRECIO'!$E$58*'INGRESO POR VENTAS'!B7)+('ELAB DE PRECIO'!$E$83*'INGRESO POR VENTAS'!B8)+('ELAB DE PRECIO'!$E$99*'INGRESO POR VENTAS'!B9)+('ELAB DE PRECIO'!$E$113*'INGRESO POR VENTAS'!B10)</f>
        <v>789.5999999999999</v>
      </c>
      <c r="C10" s="312">
        <f>('ELAB DE PRECIO'!$E$10*'INGRESO POR VENTAS'!C4)+('ELAB DE PRECIO'!$E$30*'INGRESO POR VENTAS'!C5)+('ELAB DE PRECIO'!$E$43*'INGRESO POR VENTAS'!C6)+('ELAB DE PRECIO'!$E$58*'INGRESO POR VENTAS'!C7)+('ELAB DE PRECIO'!$E$83*'INGRESO POR VENTAS'!C8)+('ELAB DE PRECIO'!$E$99*'INGRESO POR VENTAS'!C9)+('ELAB DE PRECIO'!$E$113*'INGRESO POR VENTAS'!C10)</f>
        <v>716.6</v>
      </c>
      <c r="D10" s="312">
        <f>('ELAB DE PRECIO'!$E$10*'INGRESO POR VENTAS'!D4)+('ELAB DE PRECIO'!$E$30*'INGRESO POR VENTAS'!D5)+('ELAB DE PRECIO'!$E$43*'INGRESO POR VENTAS'!D6)+('ELAB DE PRECIO'!$E$58*'INGRESO POR VENTAS'!D7)+('ELAB DE PRECIO'!$E$83*'INGRESO POR VENTAS'!D8)+('ELAB DE PRECIO'!$E$99*'INGRESO POR VENTAS'!D9)+('ELAB DE PRECIO'!$E$113*'INGRESO POR VENTAS'!D10)</f>
        <v>713.4000000000001</v>
      </c>
      <c r="E10" s="312">
        <f>('ELAB DE PRECIO'!$E$10*'INGRESO POR VENTAS'!E4)+('ELAB DE PRECIO'!$E$30*'INGRESO POR VENTAS'!E5)+('ELAB DE PRECIO'!$E$43*'INGRESO POR VENTAS'!E6)+('ELAB DE PRECIO'!$E$58*'INGRESO POR VENTAS'!E7)+('ELAB DE PRECIO'!$E$83*'INGRESO POR VENTAS'!E8)+('ELAB DE PRECIO'!$E$99*'INGRESO POR VENTAS'!E9)+('ELAB DE PRECIO'!$E$113*'INGRESO POR VENTAS'!E10)</f>
        <v>834.4</v>
      </c>
      <c r="F10" s="312">
        <f>('ELAB DE PRECIO'!$E$10*'INGRESO POR VENTAS'!F4)+('ELAB DE PRECIO'!$E$30*'INGRESO POR VENTAS'!F5)+('ELAB DE PRECIO'!$E$43*'INGRESO POR VENTAS'!F6)+('ELAB DE PRECIO'!$E$58*'INGRESO POR VENTAS'!F7)+('ELAB DE PRECIO'!$E$83*'INGRESO POR VENTAS'!F8)+('ELAB DE PRECIO'!$E$99*'INGRESO POR VENTAS'!F9)+('ELAB DE PRECIO'!$E$113*'INGRESO POR VENTAS'!F10)</f>
        <v>744.4</v>
      </c>
      <c r="G10" s="312">
        <f>('ELAB DE PRECIO'!$E$10*'INGRESO POR VENTAS'!G4)+('ELAB DE PRECIO'!$E$30*'INGRESO POR VENTAS'!G5)+('ELAB DE PRECIO'!$E$43*'INGRESO POR VENTAS'!G6)+('ELAB DE PRECIO'!$E$58*'INGRESO POR VENTAS'!G7)+('ELAB DE PRECIO'!$E$83*'INGRESO POR VENTAS'!G8)+('ELAB DE PRECIO'!$E$99*'INGRESO POR VENTAS'!G9)+('ELAB DE PRECIO'!$E$113*'INGRESO POR VENTAS'!G10)</f>
        <v>701.2</v>
      </c>
      <c r="H10" s="312">
        <f>('ELAB DE PRECIO'!$E$10*'INGRESO POR VENTAS'!H4)+('ELAB DE PRECIO'!$E$30*'INGRESO POR VENTAS'!H5)+('ELAB DE PRECIO'!$E$43*'INGRESO POR VENTAS'!H6)+('ELAB DE PRECIO'!$E$58*'INGRESO POR VENTAS'!H7)+('ELAB DE PRECIO'!$E$83*'INGRESO POR VENTAS'!H8)+('ELAB DE PRECIO'!$E$99*'INGRESO POR VENTAS'!H9)+('ELAB DE PRECIO'!$E$113*'INGRESO POR VENTAS'!H10)</f>
        <v>754</v>
      </c>
      <c r="I10" s="312">
        <f>('ELAB DE PRECIO'!$E$10*'INGRESO POR VENTAS'!I4)+('ELAB DE PRECIO'!$E$30*'INGRESO POR VENTAS'!I5)+('ELAB DE PRECIO'!$E$43*'INGRESO POR VENTAS'!I6)+('ELAB DE PRECIO'!$E$58*'INGRESO POR VENTAS'!I7)+('ELAB DE PRECIO'!$E$83*'INGRESO POR VENTAS'!I8)+('ELAB DE PRECIO'!$E$99*'INGRESO POR VENTAS'!I9)+('ELAB DE PRECIO'!$E$113*'INGRESO POR VENTAS'!I10)</f>
        <v>759.8</v>
      </c>
      <c r="J10" s="312">
        <f>('ELAB DE PRECIO'!$E$10*'INGRESO POR VENTAS'!J4)+('ELAB DE PRECIO'!$E$30*'INGRESO POR VENTAS'!J5)+('ELAB DE PRECIO'!$E$43*'INGRESO POR VENTAS'!J6)+('ELAB DE PRECIO'!$E$58*'INGRESO POR VENTAS'!J7)+('ELAB DE PRECIO'!$E$83*'INGRESO POR VENTAS'!J8)+('ELAB DE PRECIO'!$E$99*'INGRESO POR VENTAS'!J9)+('ELAB DE PRECIO'!$E$113*'INGRESO POR VENTAS'!J10)</f>
        <v>635.6</v>
      </c>
      <c r="K10" s="312">
        <f>('ELAB DE PRECIO'!$E$10*'INGRESO POR VENTAS'!K4)+('ELAB DE PRECIO'!$E$30*'INGRESO POR VENTAS'!K5)+('ELAB DE PRECIO'!$E$43*'INGRESO POR VENTAS'!K6)+('ELAB DE PRECIO'!$E$58*'INGRESO POR VENTAS'!K7)+('ELAB DE PRECIO'!$E$83*'INGRESO POR VENTAS'!K8)+('ELAB DE PRECIO'!$E$99*'INGRESO POR VENTAS'!K9)+('ELAB DE PRECIO'!$E$113*'INGRESO POR VENTAS'!K10)</f>
        <v>635.6</v>
      </c>
      <c r="L10" s="312">
        <f>('ELAB DE PRECIO'!$E$10*'INGRESO POR VENTAS'!L4)+('ELAB DE PRECIO'!$E$30*'INGRESO POR VENTAS'!L5)+('ELAB DE PRECIO'!$E$43*'INGRESO POR VENTAS'!L6)+('ELAB DE PRECIO'!$E$58*'INGRESO POR VENTAS'!L7)+('ELAB DE PRECIO'!$E$83*'INGRESO POR VENTAS'!L8)+('ELAB DE PRECIO'!$E$99*'INGRESO POR VENTAS'!L9)+('ELAB DE PRECIO'!$E$113*'INGRESO POR VENTAS'!L10)</f>
        <v>647.2</v>
      </c>
      <c r="M10" s="312">
        <f>('ELAB DE PRECIO'!$E$10*'INGRESO POR VENTAS'!M4)+('ELAB DE PRECIO'!$E$30*'INGRESO POR VENTAS'!M5)+('ELAB DE PRECIO'!$E$43*'INGRESO POR VENTAS'!M6)+('ELAB DE PRECIO'!$E$58*'INGRESO POR VENTAS'!M7)+('ELAB DE PRECIO'!$E$83*'INGRESO POR VENTAS'!M8)+('ELAB DE PRECIO'!$E$99*'INGRESO POR VENTAS'!M9)+('ELAB DE PRECIO'!$E$113*'INGRESO POR VENTAS'!M10)</f>
        <v>653.6</v>
      </c>
      <c r="N10" s="312">
        <f>('ELAB DE PRECIO'!$E$10*'INGRESO POR VENTAS'!N4)+('ELAB DE PRECIO'!$E$30*'INGRESO POR VENTAS'!N5)+('ELAB DE PRECIO'!$E$43*'INGRESO POR VENTAS'!N6)+('ELAB DE PRECIO'!$E$58*'INGRESO POR VENTAS'!N7)+('ELAB DE PRECIO'!$E$83*'INGRESO POR VENTAS'!N8)+('ELAB DE PRECIO'!$E$99*'INGRESO POR VENTAS'!N9)+('ELAB DE PRECIO'!$E$113*'INGRESO POR VENTAS'!N10)</f>
        <v>789.5999999999999</v>
      </c>
      <c r="O10" s="312">
        <f>('ELAB DE PRECIO'!$E$10*'INGRESO POR VENTAS'!O4)+('ELAB DE PRECIO'!$E$30*'INGRESO POR VENTAS'!O5)+('ELAB DE PRECIO'!$E$43*'INGRESO POR VENTAS'!O6)+('ELAB DE PRECIO'!$E$58*'INGRESO POR VENTAS'!O7)+('ELAB DE PRECIO'!$E$83*'INGRESO POR VENTAS'!O8)+('ELAB DE PRECIO'!$E$99*'INGRESO POR VENTAS'!O9)+('ELAB DE PRECIO'!$E$113*'INGRESO POR VENTAS'!O10)</f>
        <v>716.6</v>
      </c>
      <c r="P10" s="312">
        <f>('ELAB DE PRECIO'!$E$10*'INGRESO POR VENTAS'!P4)+('ELAB DE PRECIO'!$E$30*'INGRESO POR VENTAS'!P5)+('ELAB DE PRECIO'!$E$43*'INGRESO POR VENTAS'!P6)+('ELAB DE PRECIO'!$E$58*'INGRESO POR VENTAS'!P7)+('ELAB DE PRECIO'!$E$83*'INGRESO POR VENTAS'!P8)+('ELAB DE PRECIO'!$E$99*'INGRESO POR VENTAS'!P9)+('ELAB DE PRECIO'!$E$113*'INGRESO POR VENTAS'!P10)</f>
        <v>713.4000000000001</v>
      </c>
      <c r="Q10" s="312">
        <f>('ELAB DE PRECIO'!$E$10*'INGRESO POR VENTAS'!Q4)+('ELAB DE PRECIO'!$E$30*'INGRESO POR VENTAS'!Q5)+('ELAB DE PRECIO'!$E$43*'INGRESO POR VENTAS'!Q6)+('ELAB DE PRECIO'!$E$58*'INGRESO POR VENTAS'!Q7)+('ELAB DE PRECIO'!$E$83*'INGRESO POR VENTAS'!Q8)+('ELAB DE PRECIO'!$E$99*'INGRESO POR VENTAS'!Q9)+('ELAB DE PRECIO'!$E$113*'INGRESO POR VENTAS'!Q10)</f>
        <v>834.4</v>
      </c>
      <c r="R10" s="312">
        <f>('ELAB DE PRECIO'!$E$10*'INGRESO POR VENTAS'!R4)+('ELAB DE PRECIO'!$E$30*'INGRESO POR VENTAS'!R5)+('ELAB DE PRECIO'!$E$43*'INGRESO POR VENTAS'!R6)+('ELAB DE PRECIO'!$E$58*'INGRESO POR VENTAS'!R7)+('ELAB DE PRECIO'!$E$83*'INGRESO POR VENTAS'!R8)+('ELAB DE PRECIO'!$E$99*'INGRESO POR VENTAS'!R9)+('ELAB DE PRECIO'!$E$113*'INGRESO POR VENTAS'!R10)</f>
        <v>744.4</v>
      </c>
      <c r="S10" s="312">
        <f>('ELAB DE PRECIO'!$E$10*'INGRESO POR VENTAS'!S4)+('ELAB DE PRECIO'!$E$30*'INGRESO POR VENTAS'!S5)+('ELAB DE PRECIO'!$E$43*'INGRESO POR VENTAS'!S6)+('ELAB DE PRECIO'!$E$58*'INGRESO POR VENTAS'!S7)+('ELAB DE PRECIO'!$E$83*'INGRESO POR VENTAS'!S8)+('ELAB DE PRECIO'!$E$99*'INGRESO POR VENTAS'!S9)+('ELAB DE PRECIO'!$E$113*'INGRESO POR VENTAS'!S10)</f>
        <v>701.2</v>
      </c>
      <c r="T10" s="312">
        <f>('ELAB DE PRECIO'!$E$10*'INGRESO POR VENTAS'!T4)+('ELAB DE PRECIO'!$E$30*'INGRESO POR VENTAS'!T5)+('ELAB DE PRECIO'!$E$43*'INGRESO POR VENTAS'!T6)+('ELAB DE PRECIO'!$E$58*'INGRESO POR VENTAS'!T7)+('ELAB DE PRECIO'!$E$83*'INGRESO POR VENTAS'!T8)+('ELAB DE PRECIO'!$E$99*'INGRESO POR VENTAS'!T9)+('ELAB DE PRECIO'!$E$113*'INGRESO POR VENTAS'!T10)</f>
        <v>754</v>
      </c>
      <c r="U10" s="312">
        <f>('ELAB DE PRECIO'!$E$10*'INGRESO POR VENTAS'!U4)+('ELAB DE PRECIO'!$E$30*'INGRESO POR VENTAS'!U5)+('ELAB DE PRECIO'!$E$43*'INGRESO POR VENTAS'!U6)+('ELAB DE PRECIO'!$E$58*'INGRESO POR VENTAS'!U7)+('ELAB DE PRECIO'!$E$83*'INGRESO POR VENTAS'!U8)+('ELAB DE PRECIO'!$E$99*'INGRESO POR VENTAS'!U9)+('ELAB DE PRECIO'!$E$113*'INGRESO POR VENTAS'!U10)</f>
        <v>759.8</v>
      </c>
      <c r="V10" s="312">
        <f>('ELAB DE PRECIO'!$E$10*'INGRESO POR VENTAS'!V4)+('ELAB DE PRECIO'!$E$30*'INGRESO POR VENTAS'!V5)+('ELAB DE PRECIO'!$E$43*'INGRESO POR VENTAS'!V6)+('ELAB DE PRECIO'!$E$58*'INGRESO POR VENTAS'!V7)+('ELAB DE PRECIO'!$E$83*'INGRESO POR VENTAS'!V8)+('ELAB DE PRECIO'!$E$99*'INGRESO POR VENTAS'!V9)+('ELAB DE PRECIO'!$E$113*'INGRESO POR VENTAS'!V10)</f>
        <v>635.6</v>
      </c>
      <c r="W10" s="312">
        <f>('ELAB DE PRECIO'!$E$10*'INGRESO POR VENTAS'!W4)+('ELAB DE PRECIO'!$E$30*'INGRESO POR VENTAS'!W5)+('ELAB DE PRECIO'!$E$43*'INGRESO POR VENTAS'!W6)+('ELAB DE PRECIO'!$E$58*'INGRESO POR VENTAS'!W7)+('ELAB DE PRECIO'!$E$83*'INGRESO POR VENTAS'!W8)+('ELAB DE PRECIO'!$E$99*'INGRESO POR VENTAS'!W9)+('ELAB DE PRECIO'!$E$113*'INGRESO POR VENTAS'!W10)</f>
        <v>635.6</v>
      </c>
      <c r="X10" s="312">
        <f>('ELAB DE PRECIO'!$E$10*'INGRESO POR VENTAS'!X4)+('ELAB DE PRECIO'!$E$30*'INGRESO POR VENTAS'!X5)+('ELAB DE PRECIO'!$E$43*'INGRESO POR VENTAS'!X6)+('ELAB DE PRECIO'!$E$58*'INGRESO POR VENTAS'!X7)+('ELAB DE PRECIO'!$E$83*'INGRESO POR VENTAS'!X8)+('ELAB DE PRECIO'!$E$99*'INGRESO POR VENTAS'!X9)+('ELAB DE PRECIO'!$E$113*'INGRESO POR VENTAS'!X10)</f>
        <v>647.2</v>
      </c>
      <c r="Y10" s="312">
        <f>('ELAB DE PRECIO'!$E$10*'INGRESO POR VENTAS'!Y4)+('ELAB DE PRECIO'!$E$30*'INGRESO POR VENTAS'!Y5)+('ELAB DE PRECIO'!$E$43*'INGRESO POR VENTAS'!Y6)+('ELAB DE PRECIO'!$E$58*'INGRESO POR VENTAS'!Y7)+('ELAB DE PRECIO'!$E$83*'INGRESO POR VENTAS'!Y8)+('ELAB DE PRECIO'!$E$99*'INGRESO POR VENTAS'!Y9)+('ELAB DE PRECIO'!$E$113*'INGRESO POR VENTAS'!Y10)</f>
        <v>653.6</v>
      </c>
    </row>
    <row r="11" spans="1:25" ht="12">
      <c r="A11" s="143" t="str">
        <f>'ELAB DE PRECIO'!A11</f>
        <v>tornilllos 4x30</v>
      </c>
      <c r="B11" s="312">
        <f>('ELAB DE PRECIO'!$E$11*'INGRESO POR VENTAS'!B4)+('ELAB DE PRECIO'!$E$31*'INGRESO POR VENTAS'!B5)+('ELAB DE PRECIO'!$E$44*'INGRESO POR VENTAS'!B6)+('ELAB DE PRECIO'!$E$59*'INGRESO POR VENTAS'!B7)+('ELAB DE PRECIO'!$E$84*'INGRESO POR VENTAS'!B8)+('ELAB DE PRECIO'!$E$100*'INGRESO POR VENTAS'!B9)</f>
        <v>11.808000000000002</v>
      </c>
      <c r="C11" s="312">
        <f>('ELAB DE PRECIO'!$E$11*'INGRESO POR VENTAS'!C4)+('ELAB DE PRECIO'!$E$31*'INGRESO POR VENTAS'!C5)+('ELAB DE PRECIO'!$E$44*'INGRESO POR VENTAS'!C6)+('ELAB DE PRECIO'!$E$59*'INGRESO POR VENTAS'!C7)+('ELAB DE PRECIO'!$E$84*'INGRESO POR VENTAS'!C8)+('ELAB DE PRECIO'!$E$100*'INGRESO POR VENTAS'!C9)</f>
        <v>11.872000000000002</v>
      </c>
      <c r="D11" s="312">
        <f>('ELAB DE PRECIO'!$E$11*'INGRESO POR VENTAS'!D4)+('ELAB DE PRECIO'!$E$31*'INGRESO POR VENTAS'!D5)+('ELAB DE PRECIO'!$E$44*'INGRESO POR VENTAS'!D6)+('ELAB DE PRECIO'!$E$59*'INGRESO POR VENTAS'!D7)+('ELAB DE PRECIO'!$E$84*'INGRESO POR VENTAS'!D8)+('ELAB DE PRECIO'!$E$100*'INGRESO POR VENTAS'!D9)</f>
        <v>11.472000000000001</v>
      </c>
      <c r="E11" s="312">
        <f>('ELAB DE PRECIO'!$E$11*'INGRESO POR VENTAS'!E4)+('ELAB DE PRECIO'!$E$31*'INGRESO POR VENTAS'!E5)+('ELAB DE PRECIO'!$E$44*'INGRESO POR VENTAS'!E6)+('ELAB DE PRECIO'!$E$59*'INGRESO POR VENTAS'!E7)+('ELAB DE PRECIO'!$E$84*'INGRESO POR VENTAS'!E8)+('ELAB DE PRECIO'!$E$100*'INGRESO POR VENTAS'!E9)</f>
        <v>11.072000000000003</v>
      </c>
      <c r="F11" s="312">
        <f>('ELAB DE PRECIO'!$E$11*'INGRESO POR VENTAS'!F4)+('ELAB DE PRECIO'!$E$31*'INGRESO POR VENTAS'!F5)+('ELAB DE PRECIO'!$E$44*'INGRESO POR VENTAS'!F6)+('ELAB DE PRECIO'!$E$59*'INGRESO POR VENTAS'!F7)+('ELAB DE PRECIO'!$E$84*'INGRESO POR VENTAS'!F8)+('ELAB DE PRECIO'!$E$100*'INGRESO POR VENTAS'!F9)</f>
        <v>10.912000000000003</v>
      </c>
      <c r="G11" s="312">
        <f>('ELAB DE PRECIO'!$E$11*'INGRESO POR VENTAS'!G4)+('ELAB DE PRECIO'!$E$31*'INGRESO POR VENTAS'!G5)+('ELAB DE PRECIO'!$E$44*'INGRESO POR VENTAS'!G6)+('ELAB DE PRECIO'!$E$59*'INGRESO POR VENTAS'!G7)+('ELAB DE PRECIO'!$E$84*'INGRESO POR VENTAS'!G8)+('ELAB DE PRECIO'!$E$100*'INGRESO POR VENTAS'!G9)</f>
        <v>9.472000000000003</v>
      </c>
      <c r="H11" s="312">
        <f>('ELAB DE PRECIO'!$E$11*'INGRESO POR VENTAS'!H4)+('ELAB DE PRECIO'!$E$31*'INGRESO POR VENTAS'!H5)+('ELAB DE PRECIO'!$E$44*'INGRESO POR VENTAS'!H6)+('ELAB DE PRECIO'!$E$59*'INGRESO POR VENTAS'!H7)+('ELAB DE PRECIO'!$E$84*'INGRESO POR VENTAS'!H8)+('ELAB DE PRECIO'!$E$100*'INGRESO POR VENTAS'!H9)</f>
        <v>12.112000000000002</v>
      </c>
      <c r="I11" s="312">
        <f>('ELAB DE PRECIO'!$E$11*'INGRESO POR VENTAS'!I4)+('ELAB DE PRECIO'!$E$31*'INGRESO POR VENTAS'!I5)+('ELAB DE PRECIO'!$E$44*'INGRESO POR VENTAS'!I6)+('ELAB DE PRECIO'!$E$59*'INGRESO POR VENTAS'!I7)+('ELAB DE PRECIO'!$E$84*'INGRESO POR VENTAS'!I8)+('ELAB DE PRECIO'!$E$100*'INGRESO POR VENTAS'!I9)</f>
        <v>10.912</v>
      </c>
      <c r="J11" s="312">
        <f>('ELAB DE PRECIO'!$E$11*'INGRESO POR VENTAS'!J4)+('ELAB DE PRECIO'!$E$31*'INGRESO POR VENTAS'!J5)+('ELAB DE PRECIO'!$E$44*'INGRESO POR VENTAS'!J6)+('ELAB DE PRECIO'!$E$59*'INGRESO POR VENTAS'!J7)+('ELAB DE PRECIO'!$E$84*'INGRESO POR VENTAS'!J8)+('ELAB DE PRECIO'!$E$100*'INGRESO POR VENTAS'!J9)</f>
        <v>10.912</v>
      </c>
      <c r="K11" s="312">
        <f>('ELAB DE PRECIO'!$E$11*'INGRESO POR VENTAS'!K4)+('ELAB DE PRECIO'!$E$31*'INGRESO POR VENTAS'!K5)+('ELAB DE PRECIO'!$E$44*'INGRESO POR VENTAS'!K6)+('ELAB DE PRECIO'!$E$59*'INGRESO POR VENTAS'!K7)+('ELAB DE PRECIO'!$E$84*'INGRESO POR VENTAS'!K8)+('ELAB DE PRECIO'!$E$100*'INGRESO POR VENTAS'!K9)</f>
        <v>10.912</v>
      </c>
      <c r="L11" s="312">
        <f>('ELAB DE PRECIO'!$E$11*'INGRESO POR VENTAS'!L4)+('ELAB DE PRECIO'!$E$31*'INGRESO POR VENTAS'!L5)+('ELAB DE PRECIO'!$E$44*'INGRESO POR VENTAS'!L6)+('ELAB DE PRECIO'!$E$59*'INGRESO POR VENTAS'!L7)+('ELAB DE PRECIO'!$E$84*'INGRESO POR VENTAS'!L8)+('ELAB DE PRECIO'!$E$100*'INGRESO POR VENTAS'!L9)</f>
        <v>10.912000000000003</v>
      </c>
      <c r="M11" s="312">
        <f>('ELAB DE PRECIO'!$E$11*'INGRESO POR VENTAS'!M4)+('ELAB DE PRECIO'!$E$31*'INGRESO POR VENTAS'!M5)+('ELAB DE PRECIO'!$E$44*'INGRESO POR VENTAS'!M6)+('ELAB DE PRECIO'!$E$59*'INGRESO POR VENTAS'!M7)+('ELAB DE PRECIO'!$E$84*'INGRESO POR VENTAS'!M8)+('ELAB DE PRECIO'!$E$100*'INGRESO POR VENTAS'!M9)</f>
        <v>11.712000000000002</v>
      </c>
      <c r="N11" s="312">
        <f>('ELAB DE PRECIO'!$E$11*'INGRESO POR VENTAS'!N4)+('ELAB DE PRECIO'!$E$31*'INGRESO POR VENTAS'!N5)+('ELAB DE PRECIO'!$E$44*'INGRESO POR VENTAS'!N6)+('ELAB DE PRECIO'!$E$59*'INGRESO POR VENTAS'!N7)+('ELAB DE PRECIO'!$E$84*'INGRESO POR VENTAS'!N8)+('ELAB DE PRECIO'!$E$100*'INGRESO POR VENTAS'!N9)</f>
        <v>11.808000000000002</v>
      </c>
      <c r="O11" s="312">
        <f>('ELAB DE PRECIO'!$E$11*'INGRESO POR VENTAS'!O4)+('ELAB DE PRECIO'!$E$31*'INGRESO POR VENTAS'!O5)+('ELAB DE PRECIO'!$E$44*'INGRESO POR VENTAS'!O6)+('ELAB DE PRECIO'!$E$59*'INGRESO POR VENTAS'!O7)+('ELAB DE PRECIO'!$E$84*'INGRESO POR VENTAS'!O8)+('ELAB DE PRECIO'!$E$100*'INGRESO POR VENTAS'!O9)</f>
        <v>11.872000000000002</v>
      </c>
      <c r="P11" s="312">
        <f>('ELAB DE PRECIO'!$E$11*'INGRESO POR VENTAS'!P4)+('ELAB DE PRECIO'!$E$31*'INGRESO POR VENTAS'!P5)+('ELAB DE PRECIO'!$E$44*'INGRESO POR VENTAS'!P6)+('ELAB DE PRECIO'!$E$59*'INGRESO POR VENTAS'!P7)+('ELAB DE PRECIO'!$E$84*'INGRESO POR VENTAS'!P8)+('ELAB DE PRECIO'!$E$100*'INGRESO POR VENTAS'!P9)</f>
        <v>11.472000000000001</v>
      </c>
      <c r="Q11" s="312">
        <f>('ELAB DE PRECIO'!$E$11*'INGRESO POR VENTAS'!Q4)+('ELAB DE PRECIO'!$E$31*'INGRESO POR VENTAS'!Q5)+('ELAB DE PRECIO'!$E$44*'INGRESO POR VENTAS'!Q6)+('ELAB DE PRECIO'!$E$59*'INGRESO POR VENTAS'!Q7)+('ELAB DE PRECIO'!$E$84*'INGRESO POR VENTAS'!Q8)+('ELAB DE PRECIO'!$E$100*'INGRESO POR VENTAS'!Q9)</f>
        <v>11.072000000000003</v>
      </c>
      <c r="R11" s="312">
        <f>('ELAB DE PRECIO'!$E$11*'INGRESO POR VENTAS'!R4)+('ELAB DE PRECIO'!$E$31*'INGRESO POR VENTAS'!R5)+('ELAB DE PRECIO'!$E$44*'INGRESO POR VENTAS'!R6)+('ELAB DE PRECIO'!$E$59*'INGRESO POR VENTAS'!R7)+('ELAB DE PRECIO'!$E$84*'INGRESO POR VENTAS'!R8)+('ELAB DE PRECIO'!$E$100*'INGRESO POR VENTAS'!R9)</f>
        <v>10.912000000000003</v>
      </c>
      <c r="S11" s="312">
        <f>('ELAB DE PRECIO'!$E$11*'INGRESO POR VENTAS'!S4)+('ELAB DE PRECIO'!$E$31*'INGRESO POR VENTAS'!S5)+('ELAB DE PRECIO'!$E$44*'INGRESO POR VENTAS'!S6)+('ELAB DE PRECIO'!$E$59*'INGRESO POR VENTAS'!S7)+('ELAB DE PRECIO'!$E$84*'INGRESO POR VENTAS'!S8)+('ELAB DE PRECIO'!$E$100*'INGRESO POR VENTAS'!S9)</f>
        <v>9.472000000000003</v>
      </c>
      <c r="T11" s="312">
        <f>('ELAB DE PRECIO'!$E$11*'INGRESO POR VENTAS'!T4)+('ELAB DE PRECIO'!$E$31*'INGRESO POR VENTAS'!T5)+('ELAB DE PRECIO'!$E$44*'INGRESO POR VENTAS'!T6)+('ELAB DE PRECIO'!$E$59*'INGRESO POR VENTAS'!T7)+('ELAB DE PRECIO'!$E$84*'INGRESO POR VENTAS'!T8)+('ELAB DE PRECIO'!$E$100*'INGRESO POR VENTAS'!T9)</f>
        <v>12.112000000000002</v>
      </c>
      <c r="U11" s="312">
        <f>('ELAB DE PRECIO'!$E$11*'INGRESO POR VENTAS'!U4)+('ELAB DE PRECIO'!$E$31*'INGRESO POR VENTAS'!U5)+('ELAB DE PRECIO'!$E$44*'INGRESO POR VENTAS'!U6)+('ELAB DE PRECIO'!$E$59*'INGRESO POR VENTAS'!U7)+('ELAB DE PRECIO'!$E$84*'INGRESO POR VENTAS'!U8)+('ELAB DE PRECIO'!$E$100*'INGRESO POR VENTAS'!U9)</f>
        <v>10.912</v>
      </c>
      <c r="V11" s="312">
        <f>('ELAB DE PRECIO'!$E$11*'INGRESO POR VENTAS'!V4)+('ELAB DE PRECIO'!$E$31*'INGRESO POR VENTAS'!V5)+('ELAB DE PRECIO'!$E$44*'INGRESO POR VENTAS'!V6)+('ELAB DE PRECIO'!$E$59*'INGRESO POR VENTAS'!V7)+('ELAB DE PRECIO'!$E$84*'INGRESO POR VENTAS'!V8)+('ELAB DE PRECIO'!$E$100*'INGRESO POR VENTAS'!V9)</f>
        <v>10.912</v>
      </c>
      <c r="W11" s="312">
        <f>('ELAB DE PRECIO'!$E$11*'INGRESO POR VENTAS'!W4)+('ELAB DE PRECIO'!$E$31*'INGRESO POR VENTAS'!W5)+('ELAB DE PRECIO'!$E$44*'INGRESO POR VENTAS'!W6)+('ELAB DE PRECIO'!$E$59*'INGRESO POR VENTAS'!W7)+('ELAB DE PRECIO'!$E$84*'INGRESO POR VENTAS'!W8)+('ELAB DE PRECIO'!$E$100*'INGRESO POR VENTAS'!W9)</f>
        <v>10.912</v>
      </c>
      <c r="X11" s="312">
        <f>('ELAB DE PRECIO'!$E$11*'INGRESO POR VENTAS'!X4)+('ELAB DE PRECIO'!$E$31*'INGRESO POR VENTAS'!X5)+('ELAB DE PRECIO'!$E$44*'INGRESO POR VENTAS'!X6)+('ELAB DE PRECIO'!$E$59*'INGRESO POR VENTAS'!X7)+('ELAB DE PRECIO'!$E$84*'INGRESO POR VENTAS'!X8)+('ELAB DE PRECIO'!$E$100*'INGRESO POR VENTAS'!X9)</f>
        <v>10.912000000000003</v>
      </c>
      <c r="Y11" s="312">
        <f>('ELAB DE PRECIO'!$E$11*'INGRESO POR VENTAS'!Y4)+('ELAB DE PRECIO'!$E$31*'INGRESO POR VENTAS'!Y5)+('ELAB DE PRECIO'!$E$44*'INGRESO POR VENTAS'!Y6)+('ELAB DE PRECIO'!$E$59*'INGRESO POR VENTAS'!Y7)+('ELAB DE PRECIO'!$E$84*'INGRESO POR VENTAS'!Y8)+('ELAB DE PRECIO'!$E$100*'INGRESO POR VENTAS'!Y9)</f>
        <v>11.712000000000002</v>
      </c>
    </row>
    <row r="12" spans="1:25" ht="12">
      <c r="A12" s="143" t="str">
        <f>'ELAB DE PRECIO'!A12</f>
        <v>Visagras</v>
      </c>
      <c r="B12" s="312">
        <f>('ELAB DE PRECIO'!$E$12*'INGRESO POR VENTAS'!B4)+('ELAB DE PRECIO'!$E$28*'INGRESO POR VENTAS'!B5)</f>
        <v>100.80000000000001</v>
      </c>
      <c r="C12" s="312">
        <f>('ELAB DE PRECIO'!$E$12*'INGRESO POR VENTAS'!C4)+('ELAB DE PRECIO'!$E$28*'INGRESO POR VENTAS'!C5)</f>
        <v>129.60000000000002</v>
      </c>
      <c r="D12" s="312">
        <f>('ELAB DE PRECIO'!$E$12*'INGRESO POR VENTAS'!D4)+('ELAB DE PRECIO'!$E$28*'INGRESO POR VENTAS'!D5)</f>
        <v>129.60000000000002</v>
      </c>
      <c r="E12" s="312">
        <f>('ELAB DE PRECIO'!$E$12*'INGRESO POR VENTAS'!E4)+('ELAB DE PRECIO'!$E$28*'INGRESO POR VENTAS'!E5)</f>
        <v>129.60000000000002</v>
      </c>
      <c r="F12" s="312">
        <f>('ELAB DE PRECIO'!$E$12*'INGRESO POR VENTAS'!F4)+('ELAB DE PRECIO'!$E$28*'INGRESO POR VENTAS'!F5)</f>
        <v>129.60000000000002</v>
      </c>
      <c r="G12" s="312">
        <f>('ELAB DE PRECIO'!$E$12*'INGRESO POR VENTAS'!G4)+('ELAB DE PRECIO'!$E$28*'INGRESO POR VENTAS'!G5)</f>
        <v>118.80000000000001</v>
      </c>
      <c r="H12" s="312">
        <f>('ELAB DE PRECIO'!$E$12*'INGRESO POR VENTAS'!H4)+('ELAB DE PRECIO'!$E$28*'INGRESO POR VENTAS'!H5)</f>
        <v>129.60000000000002</v>
      </c>
      <c r="I12" s="312">
        <f>('ELAB DE PRECIO'!$E$12*'INGRESO POR VENTAS'!I4)+('ELAB DE PRECIO'!$E$28*'INGRESO POR VENTAS'!I5)</f>
        <v>118.80000000000001</v>
      </c>
      <c r="J12" s="312">
        <f>('ELAB DE PRECIO'!$E$12*'INGRESO POR VENTAS'!J4)+('ELAB DE PRECIO'!$E$28*'INGRESO POR VENTAS'!J5)</f>
        <v>118.80000000000001</v>
      </c>
      <c r="K12" s="312">
        <f>('ELAB DE PRECIO'!$E$12*'INGRESO POR VENTAS'!K4)+('ELAB DE PRECIO'!$E$28*'INGRESO POR VENTAS'!K5)</f>
        <v>118.80000000000001</v>
      </c>
      <c r="L12" s="312">
        <f>('ELAB DE PRECIO'!$E$12*'INGRESO POR VENTAS'!L4)+('ELAB DE PRECIO'!$E$28*'INGRESO POR VENTAS'!L5)</f>
        <v>118.80000000000001</v>
      </c>
      <c r="M12" s="312">
        <f>('ELAB DE PRECIO'!$E$12*'INGRESO POR VENTAS'!M4)+('ELAB DE PRECIO'!$E$28*'INGRESO POR VENTAS'!M5)</f>
        <v>118.80000000000001</v>
      </c>
      <c r="N12" s="312">
        <f>('ELAB DE PRECIO'!$E$12*'INGRESO POR VENTAS'!N4)+('ELAB DE PRECIO'!$E$28*'INGRESO POR VENTAS'!N5)</f>
        <v>100.80000000000001</v>
      </c>
      <c r="O12" s="312">
        <f>('ELAB DE PRECIO'!$E$12*'INGRESO POR VENTAS'!O4)+('ELAB DE PRECIO'!$E$28*'INGRESO POR VENTAS'!O5)</f>
        <v>129.60000000000002</v>
      </c>
      <c r="P12" s="312">
        <f>('ELAB DE PRECIO'!$E$12*'INGRESO POR VENTAS'!P4)+('ELAB DE PRECIO'!$E$28*'INGRESO POR VENTAS'!P5)</f>
        <v>129.60000000000002</v>
      </c>
      <c r="Q12" s="312">
        <f>('ELAB DE PRECIO'!$E$12*'INGRESO POR VENTAS'!Q4)+('ELAB DE PRECIO'!$E$28*'INGRESO POR VENTAS'!Q5)</f>
        <v>129.60000000000002</v>
      </c>
      <c r="R12" s="312">
        <f>('ELAB DE PRECIO'!$E$12*'INGRESO POR VENTAS'!R4)+('ELAB DE PRECIO'!$E$28*'INGRESO POR VENTAS'!R5)</f>
        <v>129.60000000000002</v>
      </c>
      <c r="S12" s="312">
        <f>('ELAB DE PRECIO'!$E$12*'INGRESO POR VENTAS'!S4)+('ELAB DE PRECIO'!$E$28*'INGRESO POR VENTAS'!S5)</f>
        <v>118.80000000000001</v>
      </c>
      <c r="T12" s="312">
        <f>('ELAB DE PRECIO'!$E$12*'INGRESO POR VENTAS'!T4)+('ELAB DE PRECIO'!$E$28*'INGRESO POR VENTAS'!T5)</f>
        <v>129.60000000000002</v>
      </c>
      <c r="U12" s="312">
        <f>('ELAB DE PRECIO'!$E$12*'INGRESO POR VENTAS'!U4)+('ELAB DE PRECIO'!$E$28*'INGRESO POR VENTAS'!U5)</f>
        <v>118.80000000000001</v>
      </c>
      <c r="V12" s="312">
        <f>('ELAB DE PRECIO'!$E$12*'INGRESO POR VENTAS'!V4)+('ELAB DE PRECIO'!$E$28*'INGRESO POR VENTAS'!V5)</f>
        <v>118.80000000000001</v>
      </c>
      <c r="W12" s="312">
        <f>('ELAB DE PRECIO'!$E$12*'INGRESO POR VENTAS'!W4)+('ELAB DE PRECIO'!$E$28*'INGRESO POR VENTAS'!W5)</f>
        <v>118.80000000000001</v>
      </c>
      <c r="X12" s="312">
        <f>('ELAB DE PRECIO'!$E$12*'INGRESO POR VENTAS'!X4)+('ELAB DE PRECIO'!$E$28*'INGRESO POR VENTAS'!X5)</f>
        <v>118.80000000000001</v>
      </c>
      <c r="Y12" s="312">
        <f>('ELAB DE PRECIO'!$E$12*'INGRESO POR VENTAS'!Y4)+('ELAB DE PRECIO'!$E$28*'INGRESO POR VENTAS'!Y5)</f>
        <v>118.80000000000001</v>
      </c>
    </row>
    <row r="13" spans="1:25" ht="12">
      <c r="A13" s="143" t="str">
        <f>'ELAB DE PRECIO'!A13</f>
        <v>Corraderas telescopicas</v>
      </c>
      <c r="B13" s="312">
        <f>('ELAB DE PRECIO'!$E$13*'INGRESO POR VENTAS'!B4)+('ELAB DE PRECIO'!$E$50*'INGRESO POR VENTAS'!B6)+('ELAB DE PRECIO'!$E$64*'INGRESO POR VENTAS'!B7)</f>
        <v>149.4</v>
      </c>
      <c r="C13" s="312">
        <f>('ELAB DE PRECIO'!$E$13*'INGRESO POR VENTAS'!C4)+('ELAB DE PRECIO'!$E$50*'INGRESO POR VENTAS'!C6)+('ELAB DE PRECIO'!$E$64*'INGRESO POR VENTAS'!C7)</f>
        <v>203.79999999999998</v>
      </c>
      <c r="D13" s="312">
        <f>('ELAB DE PRECIO'!$E$13*'INGRESO POR VENTAS'!D4)+('ELAB DE PRECIO'!$E$50*'INGRESO POR VENTAS'!D6)+('ELAB DE PRECIO'!$E$64*'INGRESO POR VENTAS'!D7)</f>
        <v>203.79999999999998</v>
      </c>
      <c r="E13" s="312">
        <f>('ELAB DE PRECIO'!$E$13*'INGRESO POR VENTAS'!E4)+('ELAB DE PRECIO'!$E$50*'INGRESO POR VENTAS'!E6)+('ELAB DE PRECIO'!$E$64*'INGRESO POR VENTAS'!E7)</f>
        <v>203.79999999999998</v>
      </c>
      <c r="F13" s="312">
        <f>('ELAB DE PRECIO'!$E$13*'INGRESO POR VENTAS'!F4)+('ELAB DE PRECIO'!$E$50*'INGRESO POR VENTAS'!F6)+('ELAB DE PRECIO'!$E$64*'INGRESO POR VENTAS'!F7)</f>
        <v>194.79999999999998</v>
      </c>
      <c r="G13" s="312">
        <f>('ELAB DE PRECIO'!$E$13*'INGRESO POR VENTAS'!G4)+('ELAB DE PRECIO'!$E$50*'INGRESO POR VENTAS'!G6)+('ELAB DE PRECIO'!$E$64*'INGRESO POR VENTAS'!G7)</f>
        <v>203.79999999999998</v>
      </c>
      <c r="H13" s="312">
        <f>('ELAB DE PRECIO'!$E$13*'INGRESO POR VENTAS'!H4)+('ELAB DE PRECIO'!$E$50*'INGRESO POR VENTAS'!H6)+('ELAB DE PRECIO'!$E$64*'INGRESO POR VENTAS'!H7)</f>
        <v>194.79999999999998</v>
      </c>
      <c r="I13" s="312">
        <f>('ELAB DE PRECIO'!$E$13*'INGRESO POR VENTAS'!I4)+('ELAB DE PRECIO'!$E$50*'INGRESO POR VENTAS'!I6)+('ELAB DE PRECIO'!$E$64*'INGRESO POR VENTAS'!I7)</f>
        <v>208.39999999999998</v>
      </c>
      <c r="J13" s="312">
        <f>('ELAB DE PRECIO'!$E$13*'INGRESO POR VENTAS'!J4)+('ELAB DE PRECIO'!$E$50*'INGRESO POR VENTAS'!J6)+('ELAB DE PRECIO'!$E$64*'INGRESO POR VENTAS'!J7)</f>
        <v>208.39999999999998</v>
      </c>
      <c r="K13" s="312">
        <f>('ELAB DE PRECIO'!$E$13*'INGRESO POR VENTAS'!K4)+('ELAB DE PRECIO'!$E$50*'INGRESO POR VENTAS'!K6)+('ELAB DE PRECIO'!$E$64*'INGRESO POR VENTAS'!K7)</f>
        <v>208.39999999999998</v>
      </c>
      <c r="L13" s="312">
        <f>('ELAB DE PRECIO'!$E$13*'INGRESO POR VENTAS'!L4)+('ELAB DE PRECIO'!$E$50*'INGRESO POR VENTAS'!L6)+('ELAB DE PRECIO'!$E$64*'INGRESO POR VENTAS'!L7)</f>
        <v>222</v>
      </c>
      <c r="M13" s="312">
        <f>('ELAB DE PRECIO'!$E$13*'INGRESO POR VENTAS'!M4)+('ELAB DE PRECIO'!$E$50*'INGRESO POR VENTAS'!M6)+('ELAB DE PRECIO'!$E$64*'INGRESO POR VENTAS'!M7)</f>
        <v>222</v>
      </c>
      <c r="N13" s="312">
        <f>('ELAB DE PRECIO'!$E$13*'INGRESO POR VENTAS'!N4)+('ELAB DE PRECIO'!$E$50*'INGRESO POR VENTAS'!N6)+('ELAB DE PRECIO'!$E$64*'INGRESO POR VENTAS'!N7)</f>
        <v>149.4</v>
      </c>
      <c r="O13" s="312">
        <f>('ELAB DE PRECIO'!$E$13*'INGRESO POR VENTAS'!O4)+('ELAB DE PRECIO'!$E$50*'INGRESO POR VENTAS'!O6)+('ELAB DE PRECIO'!$E$64*'INGRESO POR VENTAS'!O7)</f>
        <v>203.79999999999998</v>
      </c>
      <c r="P13" s="312">
        <f>('ELAB DE PRECIO'!$E$13*'INGRESO POR VENTAS'!P4)+('ELAB DE PRECIO'!$E$50*'INGRESO POR VENTAS'!P6)+('ELAB DE PRECIO'!$E$64*'INGRESO POR VENTAS'!P7)</f>
        <v>203.79999999999998</v>
      </c>
      <c r="Q13" s="312">
        <f>('ELAB DE PRECIO'!$E$13*'INGRESO POR VENTAS'!Q4)+('ELAB DE PRECIO'!$E$50*'INGRESO POR VENTAS'!Q6)+('ELAB DE PRECIO'!$E$64*'INGRESO POR VENTAS'!Q7)</f>
        <v>203.79999999999998</v>
      </c>
      <c r="R13" s="312">
        <f>('ELAB DE PRECIO'!$E$13*'INGRESO POR VENTAS'!R4)+('ELAB DE PRECIO'!$E$50*'INGRESO POR VENTAS'!R6)+('ELAB DE PRECIO'!$E$64*'INGRESO POR VENTAS'!R7)</f>
        <v>194.79999999999998</v>
      </c>
      <c r="S13" s="312">
        <f>('ELAB DE PRECIO'!$E$13*'INGRESO POR VENTAS'!S4)+('ELAB DE PRECIO'!$E$50*'INGRESO POR VENTAS'!S6)+('ELAB DE PRECIO'!$E$64*'INGRESO POR VENTAS'!S7)</f>
        <v>203.79999999999998</v>
      </c>
      <c r="T13" s="312">
        <f>('ELAB DE PRECIO'!$E$13*'INGRESO POR VENTAS'!T4)+('ELAB DE PRECIO'!$E$50*'INGRESO POR VENTAS'!T6)+('ELAB DE PRECIO'!$E$64*'INGRESO POR VENTAS'!T7)</f>
        <v>194.79999999999998</v>
      </c>
      <c r="U13" s="312">
        <f>('ELAB DE PRECIO'!$E$13*'INGRESO POR VENTAS'!U4)+('ELAB DE PRECIO'!$E$50*'INGRESO POR VENTAS'!U6)+('ELAB DE PRECIO'!$E$64*'INGRESO POR VENTAS'!U7)</f>
        <v>208.39999999999998</v>
      </c>
      <c r="V13" s="312">
        <f>('ELAB DE PRECIO'!$E$13*'INGRESO POR VENTAS'!V4)+('ELAB DE PRECIO'!$E$50*'INGRESO POR VENTAS'!V6)+('ELAB DE PRECIO'!$E$64*'INGRESO POR VENTAS'!V7)</f>
        <v>208.39999999999998</v>
      </c>
      <c r="W13" s="312">
        <f>('ELAB DE PRECIO'!$E$13*'INGRESO POR VENTAS'!W4)+('ELAB DE PRECIO'!$E$50*'INGRESO POR VENTAS'!W6)+('ELAB DE PRECIO'!$E$64*'INGRESO POR VENTAS'!W7)</f>
        <v>208.39999999999998</v>
      </c>
      <c r="X13" s="312">
        <f>('ELAB DE PRECIO'!$E$13*'INGRESO POR VENTAS'!X4)+('ELAB DE PRECIO'!$E$50*'INGRESO POR VENTAS'!X6)+('ELAB DE PRECIO'!$E$64*'INGRESO POR VENTAS'!X7)</f>
        <v>222</v>
      </c>
      <c r="Y13" s="312">
        <f>('ELAB DE PRECIO'!$E$13*'INGRESO POR VENTAS'!Y4)+('ELAB DE PRECIO'!$E$50*'INGRESO POR VENTAS'!Y6)+('ELAB DE PRECIO'!$E$64*'INGRESO POR VENTAS'!Y7)</f>
        <v>222</v>
      </c>
    </row>
    <row r="14" spans="1:25" ht="12">
      <c r="A14" s="143" t="str">
        <f>'ELAB DE PRECIO'!A14</f>
        <v>Jaladores</v>
      </c>
      <c r="B14" s="312">
        <f>('ELAB DE PRECIO'!$E$14*'INGRESO POR VENTAS'!B4)+('ELAB DE PRECIO'!$E$35*'INGRESO POR VENTAS'!B5)+('ELAB DE PRECIO'!$E$45*'INGRESO POR VENTAS'!B6)+('ELAB DE PRECIO'!$E$60*'INGRESO POR VENTAS'!B7)+('ELAB DE PRECIO'!$E$86*'INGRESO POR VENTAS'!B8)</f>
        <v>136.4</v>
      </c>
      <c r="C14" s="312">
        <f>('ELAB DE PRECIO'!$E$14*'INGRESO POR VENTAS'!C4)+('ELAB DE PRECIO'!$E$35*'INGRESO POR VENTAS'!C5)+('ELAB DE PRECIO'!$E$45*'INGRESO POR VENTAS'!C6)+('ELAB DE PRECIO'!$E$60*'INGRESO POR VENTAS'!C7)+('ELAB DE PRECIO'!$E$86*'INGRESO POR VENTAS'!C8)</f>
        <v>176</v>
      </c>
      <c r="D14" s="312">
        <f>('ELAB DE PRECIO'!$E$14*'INGRESO POR VENTAS'!D4)+('ELAB DE PRECIO'!$E$35*'INGRESO POR VENTAS'!D5)+('ELAB DE PRECIO'!$E$45*'INGRESO POR VENTAS'!D6)+('ELAB DE PRECIO'!$E$60*'INGRESO POR VENTAS'!D7)+('ELAB DE PRECIO'!$E$86*'INGRESO POR VENTAS'!D8)</f>
        <v>176</v>
      </c>
      <c r="E14" s="312">
        <f>('ELAB DE PRECIO'!$E$14*'INGRESO POR VENTAS'!E4)+('ELAB DE PRECIO'!$E$35*'INGRESO POR VENTAS'!E5)+('ELAB DE PRECIO'!$E$45*'INGRESO POR VENTAS'!E6)+('ELAB DE PRECIO'!$E$60*'INGRESO POR VENTAS'!E7)+('ELAB DE PRECIO'!$E$86*'INGRESO POR VENTAS'!E8)</f>
        <v>176</v>
      </c>
      <c r="F14" s="312">
        <f>('ELAB DE PRECIO'!$E$14*'INGRESO POR VENTAS'!F4)+('ELAB DE PRECIO'!$E$35*'INGRESO POR VENTAS'!F5)+('ELAB DE PRECIO'!$E$45*'INGRESO POR VENTAS'!F6)+('ELAB DE PRECIO'!$E$60*'INGRESO POR VENTAS'!F7)+('ELAB DE PRECIO'!$E$86*'INGRESO POR VENTAS'!F8)</f>
        <v>171.60000000000002</v>
      </c>
      <c r="G14" s="312">
        <f>('ELAB DE PRECIO'!$E$14*'INGRESO POR VENTAS'!G4)+('ELAB DE PRECIO'!$E$35*'INGRESO POR VENTAS'!G5)+('ELAB DE PRECIO'!$E$45*'INGRESO POR VENTAS'!G6)+('ELAB DE PRECIO'!$E$60*'INGRESO POR VENTAS'!G7)+('ELAB DE PRECIO'!$E$86*'INGRESO POR VENTAS'!G8)</f>
        <v>167.2</v>
      </c>
      <c r="H14" s="312">
        <f>('ELAB DE PRECIO'!$E$14*'INGRESO POR VENTAS'!H4)+('ELAB DE PRECIO'!$E$35*'INGRESO POR VENTAS'!H5)+('ELAB DE PRECIO'!$E$45*'INGRESO POR VENTAS'!H6)+('ELAB DE PRECIO'!$E$60*'INGRESO POR VENTAS'!H7)+('ELAB DE PRECIO'!$E$86*'INGRESO POR VENTAS'!H8)</f>
        <v>171.60000000000002</v>
      </c>
      <c r="I14" s="312">
        <f>('ELAB DE PRECIO'!$E$14*'INGRESO POR VENTAS'!I4)+('ELAB DE PRECIO'!$E$35*'INGRESO POR VENTAS'!I5)+('ELAB DE PRECIO'!$E$45*'INGRESO POR VENTAS'!I6)+('ELAB DE PRECIO'!$E$60*'INGRESO POR VENTAS'!I7)+('ELAB DE PRECIO'!$E$86*'INGRESO POR VENTAS'!I8)</f>
        <v>171.6</v>
      </c>
      <c r="J14" s="312">
        <f>('ELAB DE PRECIO'!$E$14*'INGRESO POR VENTAS'!J4)+('ELAB DE PRECIO'!$E$35*'INGRESO POR VENTAS'!J5)+('ELAB DE PRECIO'!$E$45*'INGRESO POR VENTAS'!J6)+('ELAB DE PRECIO'!$E$60*'INGRESO POR VENTAS'!J7)+('ELAB DE PRECIO'!$E$86*'INGRESO POR VENTAS'!J8)</f>
        <v>171.6</v>
      </c>
      <c r="K14" s="312">
        <f>('ELAB DE PRECIO'!$E$14*'INGRESO POR VENTAS'!K4)+('ELAB DE PRECIO'!$E$35*'INGRESO POR VENTAS'!K5)+('ELAB DE PRECIO'!$E$45*'INGRESO POR VENTAS'!K6)+('ELAB DE PRECIO'!$E$60*'INGRESO POR VENTAS'!K7)+('ELAB DE PRECIO'!$E$86*'INGRESO POR VENTAS'!K8)</f>
        <v>171.6</v>
      </c>
      <c r="L14" s="312">
        <f>('ELAB DE PRECIO'!$E$14*'INGRESO POR VENTAS'!L4)+('ELAB DE PRECIO'!$E$35*'INGRESO POR VENTAS'!L5)+('ELAB DE PRECIO'!$E$45*'INGRESO POR VENTAS'!L6)+('ELAB DE PRECIO'!$E$60*'INGRESO POR VENTAS'!L7)+('ELAB DE PRECIO'!$E$86*'INGRESO POR VENTAS'!L8)</f>
        <v>180.4</v>
      </c>
      <c r="M14" s="312">
        <f>('ELAB DE PRECIO'!$E$14*'INGRESO POR VENTAS'!M4)+('ELAB DE PRECIO'!$E$35*'INGRESO POR VENTAS'!M5)+('ELAB DE PRECIO'!$E$45*'INGRESO POR VENTAS'!M6)+('ELAB DE PRECIO'!$E$60*'INGRESO POR VENTAS'!M7)+('ELAB DE PRECIO'!$E$86*'INGRESO POR VENTAS'!M8)</f>
        <v>180.4</v>
      </c>
      <c r="N14" s="312">
        <f>('ELAB DE PRECIO'!$E$14*'INGRESO POR VENTAS'!N4)+('ELAB DE PRECIO'!$E$35*'INGRESO POR VENTAS'!N5)+('ELAB DE PRECIO'!$E$45*'INGRESO POR VENTAS'!N6)+('ELAB DE PRECIO'!$E$60*'INGRESO POR VENTAS'!N7)+('ELAB DE PRECIO'!$E$86*'INGRESO POR VENTAS'!N8)</f>
        <v>136.4</v>
      </c>
      <c r="O14" s="312">
        <f>('ELAB DE PRECIO'!$E$14*'INGRESO POR VENTAS'!O4)+('ELAB DE PRECIO'!$E$35*'INGRESO POR VENTAS'!O5)+('ELAB DE PRECIO'!$E$45*'INGRESO POR VENTAS'!O6)+('ELAB DE PRECIO'!$E$60*'INGRESO POR VENTAS'!O7)+('ELAB DE PRECIO'!$E$86*'INGRESO POR VENTAS'!O8)</f>
        <v>176</v>
      </c>
      <c r="P14" s="312">
        <f>('ELAB DE PRECIO'!$E$14*'INGRESO POR VENTAS'!P4)+('ELAB DE PRECIO'!$E$35*'INGRESO POR VENTAS'!P5)+('ELAB DE PRECIO'!$E$45*'INGRESO POR VENTAS'!P6)+('ELAB DE PRECIO'!$E$60*'INGRESO POR VENTAS'!P7)+('ELAB DE PRECIO'!$E$86*'INGRESO POR VENTAS'!P8)</f>
        <v>176</v>
      </c>
      <c r="Q14" s="312">
        <f>('ELAB DE PRECIO'!$E$14*'INGRESO POR VENTAS'!Q4)+('ELAB DE PRECIO'!$E$35*'INGRESO POR VENTAS'!Q5)+('ELAB DE PRECIO'!$E$45*'INGRESO POR VENTAS'!Q6)+('ELAB DE PRECIO'!$E$60*'INGRESO POR VENTAS'!Q7)+('ELAB DE PRECIO'!$E$86*'INGRESO POR VENTAS'!Q8)</f>
        <v>176</v>
      </c>
      <c r="R14" s="312">
        <f>('ELAB DE PRECIO'!$E$14*'INGRESO POR VENTAS'!R4)+('ELAB DE PRECIO'!$E$35*'INGRESO POR VENTAS'!R5)+('ELAB DE PRECIO'!$E$45*'INGRESO POR VENTAS'!R6)+('ELAB DE PRECIO'!$E$60*'INGRESO POR VENTAS'!R7)+('ELAB DE PRECIO'!$E$86*'INGRESO POR VENTAS'!R8)</f>
        <v>171.60000000000002</v>
      </c>
      <c r="S14" s="312">
        <f>('ELAB DE PRECIO'!$E$14*'INGRESO POR VENTAS'!S4)+('ELAB DE PRECIO'!$E$35*'INGRESO POR VENTAS'!S5)+('ELAB DE PRECIO'!$E$45*'INGRESO POR VENTAS'!S6)+('ELAB DE PRECIO'!$E$60*'INGRESO POR VENTAS'!S7)+('ELAB DE PRECIO'!$E$86*'INGRESO POR VENTAS'!S8)</f>
        <v>167.2</v>
      </c>
      <c r="T14" s="312">
        <f>('ELAB DE PRECIO'!$E$14*'INGRESO POR VENTAS'!T4)+('ELAB DE PRECIO'!$E$35*'INGRESO POR VENTAS'!T5)+('ELAB DE PRECIO'!$E$45*'INGRESO POR VENTAS'!T6)+('ELAB DE PRECIO'!$E$60*'INGRESO POR VENTAS'!T7)+('ELAB DE PRECIO'!$E$86*'INGRESO POR VENTAS'!T8)</f>
        <v>171.60000000000002</v>
      </c>
      <c r="U14" s="312">
        <f>('ELAB DE PRECIO'!$E$14*'INGRESO POR VENTAS'!U4)+('ELAB DE PRECIO'!$E$35*'INGRESO POR VENTAS'!U5)+('ELAB DE PRECIO'!$E$45*'INGRESO POR VENTAS'!U6)+('ELAB DE PRECIO'!$E$60*'INGRESO POR VENTAS'!U7)+('ELAB DE PRECIO'!$E$86*'INGRESO POR VENTAS'!U8)</f>
        <v>171.6</v>
      </c>
      <c r="V14" s="312">
        <f>('ELAB DE PRECIO'!$E$14*'INGRESO POR VENTAS'!V4)+('ELAB DE PRECIO'!$E$35*'INGRESO POR VENTAS'!V5)+('ELAB DE PRECIO'!$E$45*'INGRESO POR VENTAS'!V6)+('ELAB DE PRECIO'!$E$60*'INGRESO POR VENTAS'!V7)+('ELAB DE PRECIO'!$E$86*'INGRESO POR VENTAS'!V8)</f>
        <v>171.6</v>
      </c>
      <c r="W14" s="312">
        <f>('ELAB DE PRECIO'!$E$14*'INGRESO POR VENTAS'!W4)+('ELAB DE PRECIO'!$E$35*'INGRESO POR VENTAS'!W5)+('ELAB DE PRECIO'!$E$45*'INGRESO POR VENTAS'!W6)+('ELAB DE PRECIO'!$E$60*'INGRESO POR VENTAS'!W7)+('ELAB DE PRECIO'!$E$86*'INGRESO POR VENTAS'!W8)</f>
        <v>171.6</v>
      </c>
      <c r="X14" s="312">
        <f>('ELAB DE PRECIO'!$E$14*'INGRESO POR VENTAS'!X4)+('ELAB DE PRECIO'!$E$35*'INGRESO POR VENTAS'!X5)+('ELAB DE PRECIO'!$E$45*'INGRESO POR VENTAS'!X6)+('ELAB DE PRECIO'!$E$60*'INGRESO POR VENTAS'!X7)+('ELAB DE PRECIO'!$E$86*'INGRESO POR VENTAS'!X8)</f>
        <v>180.4</v>
      </c>
      <c r="Y14" s="312">
        <f>('ELAB DE PRECIO'!$E$14*'INGRESO POR VENTAS'!Y4)+('ELAB DE PRECIO'!$E$35*'INGRESO POR VENTAS'!Y5)+('ELAB DE PRECIO'!$E$45*'INGRESO POR VENTAS'!Y6)+('ELAB DE PRECIO'!$E$60*'INGRESO POR VENTAS'!Y7)+('ELAB DE PRECIO'!$E$86*'INGRESO POR VENTAS'!Y8)</f>
        <v>180.4</v>
      </c>
    </row>
    <row r="15" spans="1:25" ht="12">
      <c r="A15" s="143" t="str">
        <f>'ELAB DE PRECIO'!A15</f>
        <v>Escuadras plasticas</v>
      </c>
      <c r="B15" s="312">
        <f>('ELAB DE PRECIO'!$E$15*'INGRESO POR VENTAS'!B4)+('ELAB DE PRECIO'!$E$33*'INGRESO POR VENTAS'!B5)</f>
        <v>14.399999999999999</v>
      </c>
      <c r="C15" s="312">
        <f>('ELAB DE PRECIO'!$E$15*'INGRESO POR VENTAS'!C4)+('ELAB DE PRECIO'!$E$33*'INGRESO POR VENTAS'!C5)</f>
        <v>18</v>
      </c>
      <c r="D15" s="312">
        <f>('ELAB DE PRECIO'!$E$15*'INGRESO POR VENTAS'!D4)+('ELAB DE PRECIO'!$E$33*'INGRESO POR VENTAS'!D5)</f>
        <v>18</v>
      </c>
      <c r="E15" s="312">
        <f>('ELAB DE PRECIO'!$E$15*'INGRESO POR VENTAS'!E4)+('ELAB DE PRECIO'!$E$33*'INGRESO POR VENTAS'!E5)</f>
        <v>18</v>
      </c>
      <c r="F15" s="312">
        <f>('ELAB DE PRECIO'!$E$15*'INGRESO POR VENTAS'!F4)+('ELAB DE PRECIO'!$E$33*'INGRESO POR VENTAS'!F5)</f>
        <v>18</v>
      </c>
      <c r="G15" s="312">
        <f>('ELAB DE PRECIO'!$E$15*'INGRESO POR VENTAS'!G4)+('ELAB DE PRECIO'!$E$33*'INGRESO POR VENTAS'!G5)</f>
        <v>16.2</v>
      </c>
      <c r="H15" s="312">
        <f>('ELAB DE PRECIO'!$E$15*'INGRESO POR VENTAS'!H4)+('ELAB DE PRECIO'!$E$33*'INGRESO POR VENTAS'!H5)</f>
        <v>18</v>
      </c>
      <c r="I15" s="312">
        <f>('ELAB DE PRECIO'!$E$15*'INGRESO POR VENTAS'!I4)+('ELAB DE PRECIO'!$E$33*'INGRESO POR VENTAS'!I5)</f>
        <v>16.2</v>
      </c>
      <c r="J15" s="312">
        <f>('ELAB DE PRECIO'!$E$15*'INGRESO POR VENTAS'!J4)+('ELAB DE PRECIO'!$E$33*'INGRESO POR VENTAS'!J5)</f>
        <v>16.2</v>
      </c>
      <c r="K15" s="312">
        <f>('ELAB DE PRECIO'!$E$15*'INGRESO POR VENTAS'!K4)+('ELAB DE PRECIO'!$E$33*'INGRESO POR VENTAS'!K5)</f>
        <v>16.2</v>
      </c>
      <c r="L15" s="312">
        <f>('ELAB DE PRECIO'!$E$15*'INGRESO POR VENTAS'!L4)+('ELAB DE PRECIO'!$E$33*'INGRESO POR VENTAS'!L5)</f>
        <v>16.2</v>
      </c>
      <c r="M15" s="312">
        <f>('ELAB DE PRECIO'!$E$15*'INGRESO POR VENTAS'!M4)+('ELAB DE PRECIO'!$E$33*'INGRESO POR VENTAS'!M5)</f>
        <v>16.2</v>
      </c>
      <c r="N15" s="312">
        <f>('ELAB DE PRECIO'!$E$15*'INGRESO POR VENTAS'!N4)+('ELAB DE PRECIO'!$E$33*'INGRESO POR VENTAS'!N5)</f>
        <v>14.399999999999999</v>
      </c>
      <c r="O15" s="312">
        <f>('ELAB DE PRECIO'!$E$15*'INGRESO POR VENTAS'!O4)+('ELAB DE PRECIO'!$E$33*'INGRESO POR VENTAS'!O5)</f>
        <v>18</v>
      </c>
      <c r="P15" s="312">
        <f>('ELAB DE PRECIO'!$E$15*'INGRESO POR VENTAS'!P4)+('ELAB DE PRECIO'!$E$33*'INGRESO POR VENTAS'!P5)</f>
        <v>18</v>
      </c>
      <c r="Q15" s="312">
        <f>('ELAB DE PRECIO'!$E$15*'INGRESO POR VENTAS'!Q4)+('ELAB DE PRECIO'!$E$33*'INGRESO POR VENTAS'!Q5)</f>
        <v>18</v>
      </c>
      <c r="R15" s="312">
        <f>('ELAB DE PRECIO'!$E$15*'INGRESO POR VENTAS'!R4)+('ELAB DE PRECIO'!$E$33*'INGRESO POR VENTAS'!R5)</f>
        <v>18</v>
      </c>
      <c r="S15" s="312">
        <f>('ELAB DE PRECIO'!$E$15*'INGRESO POR VENTAS'!S4)+('ELAB DE PRECIO'!$E$33*'INGRESO POR VENTAS'!S5)</f>
        <v>16.2</v>
      </c>
      <c r="T15" s="312">
        <f>('ELAB DE PRECIO'!$E$15*'INGRESO POR VENTAS'!T4)+('ELAB DE PRECIO'!$E$33*'INGRESO POR VENTAS'!T5)</f>
        <v>18</v>
      </c>
      <c r="U15" s="312">
        <f>('ELAB DE PRECIO'!$E$15*'INGRESO POR VENTAS'!U4)+('ELAB DE PRECIO'!$E$33*'INGRESO POR VENTAS'!U5)</f>
        <v>16.2</v>
      </c>
      <c r="V15" s="312">
        <f>('ELAB DE PRECIO'!$E$15*'INGRESO POR VENTAS'!V4)+('ELAB DE PRECIO'!$E$33*'INGRESO POR VENTAS'!V5)</f>
        <v>16.2</v>
      </c>
      <c r="W15" s="312">
        <f>('ELAB DE PRECIO'!$E$15*'INGRESO POR VENTAS'!W4)+('ELAB DE PRECIO'!$E$33*'INGRESO POR VENTAS'!W5)</f>
        <v>16.2</v>
      </c>
      <c r="X15" s="312">
        <f>('ELAB DE PRECIO'!$E$15*'INGRESO POR VENTAS'!X4)+('ELAB DE PRECIO'!$E$33*'INGRESO POR VENTAS'!X5)</f>
        <v>16.2</v>
      </c>
      <c r="Y15" s="312">
        <f>('ELAB DE PRECIO'!$E$15*'INGRESO POR VENTAS'!Y4)+('ELAB DE PRECIO'!$E$33*'INGRESO POR VENTAS'!Y5)</f>
        <v>16.2</v>
      </c>
    </row>
    <row r="16" spans="1:25" ht="12">
      <c r="A16" s="143" t="str">
        <f>'ELAB DE PRECIO'!A16</f>
        <v>Deslizadores</v>
      </c>
      <c r="B16" s="312">
        <f>('ELAB DE PRECIO'!$E$16*'INGRESO POR VENTAS'!B4)+('ELAB DE PRECIO'!$E$47*'INGRESO POR VENTAS'!B6)+('ELAB DE PRECIO'!$E$62*'INGRESO POR VENTAS'!B7)+('ELAB DE PRECIO'!$E$89*'INGRESO POR VENTAS'!B8)</f>
        <v>15.600000000000001</v>
      </c>
      <c r="C16" s="312">
        <f>('ELAB DE PRECIO'!$E$16*'INGRESO POR VENTAS'!C4)+('ELAB DE PRECIO'!$E$47*'INGRESO POR VENTAS'!C6)+('ELAB DE PRECIO'!$E$62*'INGRESO POR VENTAS'!C7)+('ELAB DE PRECIO'!$E$89*'INGRESO POR VENTAS'!C8)</f>
        <v>20.000000000000004</v>
      </c>
      <c r="D16" s="312">
        <f>('ELAB DE PRECIO'!$E$16*'INGRESO POR VENTAS'!D4)+('ELAB DE PRECIO'!$E$47*'INGRESO POR VENTAS'!D6)+('ELAB DE PRECIO'!$E$62*'INGRESO POR VENTAS'!D7)+('ELAB DE PRECIO'!$E$89*'INGRESO POR VENTAS'!D8)</f>
        <v>20.000000000000004</v>
      </c>
      <c r="E16" s="312">
        <f>('ELAB DE PRECIO'!$E$16*'INGRESO POR VENTAS'!E4)+('ELAB DE PRECIO'!$E$47*'INGRESO POR VENTAS'!E6)+('ELAB DE PRECIO'!$E$62*'INGRESO POR VENTAS'!E7)+('ELAB DE PRECIO'!$E$89*'INGRESO POR VENTAS'!E8)</f>
        <v>20.000000000000004</v>
      </c>
      <c r="F16" s="312">
        <f>('ELAB DE PRECIO'!$E$16*'INGRESO POR VENTAS'!F4)+('ELAB DE PRECIO'!$E$47*'INGRESO POR VENTAS'!F6)+('ELAB DE PRECIO'!$E$62*'INGRESO POR VENTAS'!F7)+('ELAB DE PRECIO'!$E$89*'INGRESO POR VENTAS'!F8)</f>
        <v>18.400000000000002</v>
      </c>
      <c r="G16" s="312">
        <f>('ELAB DE PRECIO'!$E$16*'INGRESO POR VENTAS'!G4)+('ELAB DE PRECIO'!$E$47*'INGRESO POR VENTAS'!G6)+('ELAB DE PRECIO'!$E$62*'INGRESO POR VENTAS'!G7)+('ELAB DE PRECIO'!$E$89*'INGRESO POR VENTAS'!G8)</f>
        <v>20.000000000000004</v>
      </c>
      <c r="H16" s="312">
        <f>('ELAB DE PRECIO'!$E$16*'INGRESO POR VENTAS'!H4)+('ELAB DE PRECIO'!$E$47*'INGRESO POR VENTAS'!H6)+('ELAB DE PRECIO'!$E$62*'INGRESO POR VENTAS'!H7)+('ELAB DE PRECIO'!$E$89*'INGRESO POR VENTAS'!H8)</f>
        <v>18.400000000000002</v>
      </c>
      <c r="I16" s="312">
        <f>('ELAB DE PRECIO'!$E$16*'INGRESO POR VENTAS'!I4)+('ELAB DE PRECIO'!$E$47*'INGRESO POR VENTAS'!I6)+('ELAB DE PRECIO'!$E$62*'INGRESO POR VENTAS'!I7)+('ELAB DE PRECIO'!$E$89*'INGRESO POR VENTAS'!I8)</f>
        <v>20.400000000000002</v>
      </c>
      <c r="J16" s="312">
        <f>('ELAB DE PRECIO'!$E$16*'INGRESO POR VENTAS'!J4)+('ELAB DE PRECIO'!$E$47*'INGRESO POR VENTAS'!J6)+('ELAB DE PRECIO'!$E$62*'INGRESO POR VENTAS'!J7)+('ELAB DE PRECIO'!$E$89*'INGRESO POR VENTAS'!J8)</f>
        <v>20.400000000000002</v>
      </c>
      <c r="K16" s="312">
        <f>('ELAB DE PRECIO'!$E$16*'INGRESO POR VENTAS'!K4)+('ELAB DE PRECIO'!$E$47*'INGRESO POR VENTAS'!K6)+('ELAB DE PRECIO'!$E$62*'INGRESO POR VENTAS'!K7)+('ELAB DE PRECIO'!$E$89*'INGRESO POR VENTAS'!K8)</f>
        <v>20.400000000000002</v>
      </c>
      <c r="L16" s="312">
        <f>('ELAB DE PRECIO'!$E$16*'INGRESO POR VENTAS'!L4)+('ELAB DE PRECIO'!$E$47*'INGRESO POR VENTAS'!L6)+('ELAB DE PRECIO'!$E$62*'INGRESO POR VENTAS'!L7)+('ELAB DE PRECIO'!$E$89*'INGRESO POR VENTAS'!L8)</f>
        <v>22.400000000000002</v>
      </c>
      <c r="M16" s="312">
        <f>('ELAB DE PRECIO'!$E$16*'INGRESO POR VENTAS'!M4)+('ELAB DE PRECIO'!$E$47*'INGRESO POR VENTAS'!M6)+('ELAB DE PRECIO'!$E$62*'INGRESO POR VENTAS'!M7)+('ELAB DE PRECIO'!$E$89*'INGRESO POR VENTAS'!M8)</f>
        <v>22.400000000000002</v>
      </c>
      <c r="N16" s="312">
        <f>('ELAB DE PRECIO'!$E$16*'INGRESO POR VENTAS'!N4)+('ELAB DE PRECIO'!$E$47*'INGRESO POR VENTAS'!N6)+('ELAB DE PRECIO'!$E$62*'INGRESO POR VENTAS'!N7)+('ELAB DE PRECIO'!$E$89*'INGRESO POR VENTAS'!N8)</f>
        <v>15.600000000000001</v>
      </c>
      <c r="O16" s="312">
        <f>('ELAB DE PRECIO'!$E$16*'INGRESO POR VENTAS'!O4)+('ELAB DE PRECIO'!$E$47*'INGRESO POR VENTAS'!O6)+('ELAB DE PRECIO'!$E$62*'INGRESO POR VENTAS'!O7)+('ELAB DE PRECIO'!$E$89*'INGRESO POR VENTAS'!O8)</f>
        <v>20.000000000000004</v>
      </c>
      <c r="P16" s="312">
        <f>('ELAB DE PRECIO'!$E$16*'INGRESO POR VENTAS'!P4)+('ELAB DE PRECIO'!$E$47*'INGRESO POR VENTAS'!P6)+('ELAB DE PRECIO'!$E$62*'INGRESO POR VENTAS'!P7)+('ELAB DE PRECIO'!$E$89*'INGRESO POR VENTAS'!P8)</f>
        <v>20.000000000000004</v>
      </c>
      <c r="Q16" s="312">
        <f>('ELAB DE PRECIO'!$E$16*'INGRESO POR VENTAS'!Q4)+('ELAB DE PRECIO'!$E$47*'INGRESO POR VENTAS'!Q6)+('ELAB DE PRECIO'!$E$62*'INGRESO POR VENTAS'!Q7)+('ELAB DE PRECIO'!$E$89*'INGRESO POR VENTAS'!Q8)</f>
        <v>20.000000000000004</v>
      </c>
      <c r="R16" s="312">
        <f>('ELAB DE PRECIO'!$E$16*'INGRESO POR VENTAS'!R4)+('ELAB DE PRECIO'!$E$47*'INGRESO POR VENTAS'!R6)+('ELAB DE PRECIO'!$E$62*'INGRESO POR VENTAS'!R7)+('ELAB DE PRECIO'!$E$89*'INGRESO POR VENTAS'!R8)</f>
        <v>18.400000000000002</v>
      </c>
      <c r="S16" s="312">
        <f>('ELAB DE PRECIO'!$E$16*'INGRESO POR VENTAS'!S4)+('ELAB DE PRECIO'!$E$47*'INGRESO POR VENTAS'!S6)+('ELAB DE PRECIO'!$E$62*'INGRESO POR VENTAS'!S7)+('ELAB DE PRECIO'!$E$89*'INGRESO POR VENTAS'!S8)</f>
        <v>20.000000000000004</v>
      </c>
      <c r="T16" s="312">
        <f>('ELAB DE PRECIO'!$E$16*'INGRESO POR VENTAS'!T4)+('ELAB DE PRECIO'!$E$47*'INGRESO POR VENTAS'!T6)+('ELAB DE PRECIO'!$E$62*'INGRESO POR VENTAS'!T7)+('ELAB DE PRECIO'!$E$89*'INGRESO POR VENTAS'!T8)</f>
        <v>18.400000000000002</v>
      </c>
      <c r="U16" s="312">
        <f>('ELAB DE PRECIO'!$E$16*'INGRESO POR VENTAS'!U4)+('ELAB DE PRECIO'!$E$47*'INGRESO POR VENTAS'!U6)+('ELAB DE PRECIO'!$E$62*'INGRESO POR VENTAS'!U7)+('ELAB DE PRECIO'!$E$89*'INGRESO POR VENTAS'!U8)</f>
        <v>20.400000000000002</v>
      </c>
      <c r="V16" s="312">
        <f>('ELAB DE PRECIO'!$E$16*'INGRESO POR VENTAS'!V4)+('ELAB DE PRECIO'!$E$47*'INGRESO POR VENTAS'!V6)+('ELAB DE PRECIO'!$E$62*'INGRESO POR VENTAS'!V7)+('ELAB DE PRECIO'!$E$89*'INGRESO POR VENTAS'!V8)</f>
        <v>20.400000000000002</v>
      </c>
      <c r="W16" s="312">
        <f>('ELAB DE PRECIO'!$E$16*'INGRESO POR VENTAS'!W4)+('ELAB DE PRECIO'!$E$47*'INGRESO POR VENTAS'!W6)+('ELAB DE PRECIO'!$E$62*'INGRESO POR VENTAS'!W7)+('ELAB DE PRECIO'!$E$89*'INGRESO POR VENTAS'!W8)</f>
        <v>20.400000000000002</v>
      </c>
      <c r="X16" s="312">
        <f>('ELAB DE PRECIO'!$E$16*'INGRESO POR VENTAS'!X4)+('ELAB DE PRECIO'!$E$47*'INGRESO POR VENTAS'!X6)+('ELAB DE PRECIO'!$E$62*'INGRESO POR VENTAS'!X7)+('ELAB DE PRECIO'!$E$89*'INGRESO POR VENTAS'!X8)</f>
        <v>22.400000000000002</v>
      </c>
      <c r="Y16" s="312">
        <f>('ELAB DE PRECIO'!$E$16*'INGRESO POR VENTAS'!Y4)+('ELAB DE PRECIO'!$E$47*'INGRESO POR VENTAS'!Y6)+('ELAB DE PRECIO'!$E$62*'INGRESO POR VENTAS'!Y7)+('ELAB DE PRECIO'!$E$89*'INGRESO POR VENTAS'!Y8)</f>
        <v>22.400000000000002</v>
      </c>
    </row>
    <row r="17" spans="1:25" ht="12">
      <c r="A17" s="143" t="str">
        <f>'ELAB DE PRECIO'!A17</f>
        <v>Post formado</v>
      </c>
      <c r="B17" s="312">
        <f>('ELAB DE PRECIO'!$E$17*'INGRESO POR VENTAS'!B4)</f>
        <v>720</v>
      </c>
      <c r="C17" s="312">
        <f>('ELAB DE PRECIO'!$E$17*'INGRESO POR VENTAS'!C4)</f>
        <v>1080</v>
      </c>
      <c r="D17" s="312">
        <f>('ELAB DE PRECIO'!$E$17*'INGRESO POR VENTAS'!D4)</f>
        <v>1080</v>
      </c>
      <c r="E17" s="312">
        <f>('ELAB DE PRECIO'!$E$17*'INGRESO POR VENTAS'!E4)</f>
        <v>1080</v>
      </c>
      <c r="F17" s="312">
        <f>('ELAB DE PRECIO'!$E$17*'INGRESO POR VENTAS'!F4)</f>
        <v>1080</v>
      </c>
      <c r="G17" s="312">
        <f>('ELAB DE PRECIO'!$E$17*'INGRESO POR VENTAS'!G4)</f>
        <v>1080</v>
      </c>
      <c r="H17" s="312">
        <f>('ELAB DE PRECIO'!$E$17*'INGRESO POR VENTAS'!H4)</f>
        <v>1080</v>
      </c>
      <c r="I17" s="312">
        <f>('ELAB DE PRECIO'!$E$17*'INGRESO POR VENTAS'!I4)</f>
        <v>1080</v>
      </c>
      <c r="J17" s="312">
        <f>('ELAB DE PRECIO'!$E$17*'INGRESO POR VENTAS'!J4)</f>
        <v>1080</v>
      </c>
      <c r="K17" s="312">
        <f>('ELAB DE PRECIO'!$E$17*'INGRESO POR VENTAS'!K4)</f>
        <v>1080</v>
      </c>
      <c r="L17" s="312">
        <f>('ELAB DE PRECIO'!$E$17*'INGRESO POR VENTAS'!L4)</f>
        <v>1080</v>
      </c>
      <c r="M17" s="312">
        <f>('ELAB DE PRECIO'!$E$17*'INGRESO POR VENTAS'!M4)</f>
        <v>1080</v>
      </c>
      <c r="N17" s="312">
        <f>('ELAB DE PRECIO'!$E$17*'INGRESO POR VENTAS'!N4)</f>
        <v>720</v>
      </c>
      <c r="O17" s="312">
        <f>('ELAB DE PRECIO'!$E$17*'INGRESO POR VENTAS'!O4)</f>
        <v>1080</v>
      </c>
      <c r="P17" s="312">
        <f>('ELAB DE PRECIO'!$E$17*'INGRESO POR VENTAS'!P4)</f>
        <v>1080</v>
      </c>
      <c r="Q17" s="312">
        <f>('ELAB DE PRECIO'!$E$17*'INGRESO POR VENTAS'!Q4)</f>
        <v>1080</v>
      </c>
      <c r="R17" s="312">
        <f>('ELAB DE PRECIO'!$E$17*'INGRESO POR VENTAS'!R4)</f>
        <v>1080</v>
      </c>
      <c r="S17" s="312">
        <f>('ELAB DE PRECIO'!$E$17*'INGRESO POR VENTAS'!S4)</f>
        <v>1080</v>
      </c>
      <c r="T17" s="312">
        <f>('ELAB DE PRECIO'!$E$17*'INGRESO POR VENTAS'!T4)</f>
        <v>1080</v>
      </c>
      <c r="U17" s="312">
        <f>('ELAB DE PRECIO'!$E$17*'INGRESO POR VENTAS'!U4)</f>
        <v>1080</v>
      </c>
      <c r="V17" s="312">
        <f>('ELAB DE PRECIO'!$E$17*'INGRESO POR VENTAS'!V4)</f>
        <v>1080</v>
      </c>
      <c r="W17" s="312">
        <f>('ELAB DE PRECIO'!$E$17*'INGRESO POR VENTAS'!W4)</f>
        <v>1080</v>
      </c>
      <c r="X17" s="312">
        <f>('ELAB DE PRECIO'!$E$17*'INGRESO POR VENTAS'!X4)</f>
        <v>1080</v>
      </c>
      <c r="Y17" s="312">
        <f>('ELAB DE PRECIO'!$E$17*'INGRESO POR VENTAS'!Y4)</f>
        <v>1080</v>
      </c>
    </row>
    <row r="18" spans="1:25" ht="12">
      <c r="A18" s="143" t="str">
        <f>'ELAB DE PRECIO'!A18</f>
        <v>tapa tornillo</v>
      </c>
      <c r="B18" s="312">
        <f>('ELAB DE PRECIO'!$E$18*'INGRESO POR VENTAS'!B4)+('ELAB DE PRECIO'!$E$36*'INGRESO POR VENTAS'!B5)+('ELAB DE PRECIO'!$E$46*'INGRESO POR VENTAS'!B6)+('ELAB DE PRECIO'!$E$61*'INGRESO POR VENTAS'!B7)+('ELAB DE PRECIO'!$E$91*'INGRESO POR VENTAS'!B8)+('ELAB DE PRECIO'!$E$105*'INGRESO POR VENTAS'!B9)+('ELAB DE PRECIO'!$E$114*'INGRESO POR VENTAS'!B10)</f>
        <v>42.96</v>
      </c>
      <c r="C18" s="312">
        <f>('ELAB DE PRECIO'!$E$18*'INGRESO POR VENTAS'!C4)+('ELAB DE PRECIO'!$E$36*'INGRESO POR VENTAS'!C5)+('ELAB DE PRECIO'!$E$46*'INGRESO POR VENTAS'!C6)+('ELAB DE PRECIO'!$E$61*'INGRESO POR VENTAS'!C7)+('ELAB DE PRECIO'!$E$91*'INGRESO POR VENTAS'!C8)+('ELAB DE PRECIO'!$E$105*'INGRESO POR VENTAS'!C9)+('ELAB DE PRECIO'!$E$114*'INGRESO POR VENTAS'!C10)</f>
        <v>40.2</v>
      </c>
      <c r="D18" s="312">
        <f>('ELAB DE PRECIO'!$E$18*'INGRESO POR VENTAS'!D4)+('ELAB DE PRECIO'!$E$36*'INGRESO POR VENTAS'!D5)+('ELAB DE PRECIO'!$E$46*'INGRESO POR VENTAS'!D6)+('ELAB DE PRECIO'!$E$61*'INGRESO POR VENTAS'!D7)+('ELAB DE PRECIO'!$E$91*'INGRESO POR VENTAS'!D8)+('ELAB DE PRECIO'!$E$105*'INGRESO POR VENTAS'!D9)+('ELAB DE PRECIO'!$E$114*'INGRESO POR VENTAS'!D10)</f>
        <v>38.2</v>
      </c>
      <c r="E18" s="312">
        <f>('ELAB DE PRECIO'!$E$18*'INGRESO POR VENTAS'!E4)+('ELAB DE PRECIO'!$E$36*'INGRESO POR VENTAS'!E5)+('ELAB DE PRECIO'!$E$46*'INGRESO POR VENTAS'!E6)+('ELAB DE PRECIO'!$E$61*'INGRESO POR VENTAS'!E7)+('ELAB DE PRECIO'!$E$91*'INGRESO POR VENTAS'!E8)+('ELAB DE PRECIO'!$E$105*'INGRESO POR VENTAS'!E9)+('ELAB DE PRECIO'!$E$114*'INGRESO POR VENTAS'!E10)</f>
        <v>38.96</v>
      </c>
      <c r="F18" s="312">
        <f>('ELAB DE PRECIO'!$E$18*'INGRESO POR VENTAS'!F4)+('ELAB DE PRECIO'!$E$36*'INGRESO POR VENTAS'!F5)+('ELAB DE PRECIO'!$E$46*'INGRESO POR VENTAS'!F6)+('ELAB DE PRECIO'!$E$61*'INGRESO POR VENTAS'!F7)+('ELAB DE PRECIO'!$E$91*'INGRESO POR VENTAS'!F8)+('ELAB DE PRECIO'!$E$105*'INGRESO POR VENTAS'!F9)+('ELAB DE PRECIO'!$E$114*'INGRESO POR VENTAS'!F10)</f>
        <v>37.76</v>
      </c>
      <c r="G18" s="312">
        <f>('ELAB DE PRECIO'!$E$18*'INGRESO POR VENTAS'!G4)+('ELAB DE PRECIO'!$E$36*'INGRESO POR VENTAS'!G5)+('ELAB DE PRECIO'!$E$46*'INGRESO POR VENTAS'!G6)+('ELAB DE PRECIO'!$E$61*'INGRESO POR VENTAS'!G7)+('ELAB DE PRECIO'!$E$91*'INGRESO POR VENTAS'!G8)+('ELAB DE PRECIO'!$E$105*'INGRESO POR VENTAS'!G9)+('ELAB DE PRECIO'!$E$114*'INGRESO POR VENTAS'!G10)</f>
        <v>34.2</v>
      </c>
      <c r="H18" s="312">
        <f>('ELAB DE PRECIO'!$E$18*'INGRESO POR VENTAS'!H4)+('ELAB DE PRECIO'!$E$36*'INGRESO POR VENTAS'!H5)+('ELAB DE PRECIO'!$E$46*'INGRESO POR VENTAS'!H6)+('ELAB DE PRECIO'!$E$61*'INGRESO POR VENTAS'!H7)+('ELAB DE PRECIO'!$E$91*'INGRESO POR VENTAS'!H8)+('ELAB DE PRECIO'!$E$105*'INGRESO POR VENTAS'!H9)+('ELAB DE PRECIO'!$E$114*'INGRESO POR VENTAS'!H10)</f>
        <v>43.76</v>
      </c>
      <c r="I18" s="312">
        <f>('ELAB DE PRECIO'!$E$18*'INGRESO POR VENTAS'!I4)+('ELAB DE PRECIO'!$E$36*'INGRESO POR VENTAS'!I5)+('ELAB DE PRECIO'!$E$46*'INGRESO POR VENTAS'!I6)+('ELAB DE PRECIO'!$E$61*'INGRESO POR VENTAS'!I7)+('ELAB DE PRECIO'!$E$91*'INGRESO POR VENTAS'!I8)+('ELAB DE PRECIO'!$E$105*'INGRESO POR VENTAS'!I9)+('ELAB DE PRECIO'!$E$114*'INGRESO POR VENTAS'!I10)</f>
        <v>43.76</v>
      </c>
      <c r="J18" s="312">
        <f>('ELAB DE PRECIO'!$E$18*'INGRESO POR VENTAS'!J4)+('ELAB DE PRECIO'!$E$36*'INGRESO POR VENTAS'!J5)+('ELAB DE PRECIO'!$E$46*'INGRESO POR VENTAS'!J6)+('ELAB DE PRECIO'!$E$61*'INGRESO POR VENTAS'!J7)+('ELAB DE PRECIO'!$E$91*'INGRESO POR VENTAS'!J8)+('ELAB DE PRECIO'!$E$105*'INGRESO POR VENTAS'!J9)+('ELAB DE PRECIO'!$E$114*'INGRESO POR VENTAS'!J10)</f>
        <v>41</v>
      </c>
      <c r="K18" s="312">
        <f>('ELAB DE PRECIO'!$E$18*'INGRESO POR VENTAS'!K4)+('ELAB DE PRECIO'!$E$36*'INGRESO POR VENTAS'!K5)+('ELAB DE PRECIO'!$E$46*'INGRESO POR VENTAS'!K6)+('ELAB DE PRECIO'!$E$61*'INGRESO POR VENTAS'!K7)+('ELAB DE PRECIO'!$E$91*'INGRESO POR VENTAS'!K8)+('ELAB DE PRECIO'!$E$105*'INGRESO POR VENTAS'!K9)+('ELAB DE PRECIO'!$E$114*'INGRESO POR VENTAS'!K10)</f>
        <v>41</v>
      </c>
      <c r="L18" s="312">
        <f>('ELAB DE PRECIO'!$E$18*'INGRESO POR VENTAS'!L4)+('ELAB DE PRECIO'!$E$36*'INGRESO POR VENTAS'!L5)+('ELAB DE PRECIO'!$E$46*'INGRESO POR VENTAS'!L6)+('ELAB DE PRECIO'!$E$61*'INGRESO POR VENTAS'!L7)+('ELAB DE PRECIO'!$E$91*'INGRESO POR VENTAS'!L8)+('ELAB DE PRECIO'!$E$105*'INGRESO POR VENTAS'!L9)+('ELAB DE PRECIO'!$E$114*'INGRESO POR VENTAS'!L10)</f>
        <v>41</v>
      </c>
      <c r="M18" s="312">
        <f>('ELAB DE PRECIO'!$E$18*'INGRESO POR VENTAS'!M4)+('ELAB DE PRECIO'!$E$36*'INGRESO POR VENTAS'!M5)+('ELAB DE PRECIO'!$E$46*'INGRESO POR VENTAS'!M6)+('ELAB DE PRECIO'!$E$61*'INGRESO POR VENTAS'!M7)+('ELAB DE PRECIO'!$E$91*'INGRESO POR VENTAS'!M8)+('ELAB DE PRECIO'!$E$105*'INGRESO POR VENTAS'!M9)+('ELAB DE PRECIO'!$E$114*'INGRESO POR VENTAS'!M10)</f>
        <v>45</v>
      </c>
      <c r="N18" s="312">
        <f>('ELAB DE PRECIO'!$E$18*'INGRESO POR VENTAS'!N4)+('ELAB DE PRECIO'!$E$36*'INGRESO POR VENTAS'!N5)+('ELAB DE PRECIO'!$E$46*'INGRESO POR VENTAS'!N6)+('ELAB DE PRECIO'!$E$61*'INGRESO POR VENTAS'!N7)+('ELAB DE PRECIO'!$E$91*'INGRESO POR VENTAS'!N8)+('ELAB DE PRECIO'!$E$105*'INGRESO POR VENTAS'!N9)+('ELAB DE PRECIO'!$E$114*'INGRESO POR VENTAS'!N10)</f>
        <v>42.96</v>
      </c>
      <c r="O18" s="312">
        <f>('ELAB DE PRECIO'!$E$18*'INGRESO POR VENTAS'!O4)+('ELAB DE PRECIO'!$E$36*'INGRESO POR VENTAS'!O5)+('ELAB DE PRECIO'!$E$46*'INGRESO POR VENTAS'!O6)+('ELAB DE PRECIO'!$E$61*'INGRESO POR VENTAS'!O7)+('ELAB DE PRECIO'!$E$91*'INGRESO POR VENTAS'!O8)+('ELAB DE PRECIO'!$E$105*'INGRESO POR VENTAS'!O9)+('ELAB DE PRECIO'!$E$114*'INGRESO POR VENTAS'!O10)</f>
        <v>40.2</v>
      </c>
      <c r="P18" s="312">
        <f>('ELAB DE PRECIO'!$E$18*'INGRESO POR VENTAS'!P4)+('ELAB DE PRECIO'!$E$36*'INGRESO POR VENTAS'!P5)+('ELAB DE PRECIO'!$E$46*'INGRESO POR VENTAS'!P6)+('ELAB DE PRECIO'!$E$61*'INGRESO POR VENTAS'!P7)+('ELAB DE PRECIO'!$E$91*'INGRESO POR VENTAS'!P8)+('ELAB DE PRECIO'!$E$105*'INGRESO POR VENTAS'!P9)+('ELAB DE PRECIO'!$E$114*'INGRESO POR VENTAS'!P10)</f>
        <v>38.2</v>
      </c>
      <c r="Q18" s="312">
        <f>('ELAB DE PRECIO'!$E$18*'INGRESO POR VENTAS'!Q4)+('ELAB DE PRECIO'!$E$36*'INGRESO POR VENTAS'!Q5)+('ELAB DE PRECIO'!$E$46*'INGRESO POR VENTAS'!Q6)+('ELAB DE PRECIO'!$E$61*'INGRESO POR VENTAS'!Q7)+('ELAB DE PRECIO'!$E$91*'INGRESO POR VENTAS'!Q8)+('ELAB DE PRECIO'!$E$105*'INGRESO POR VENTAS'!Q9)+('ELAB DE PRECIO'!$E$114*'INGRESO POR VENTAS'!Q10)</f>
        <v>38.96</v>
      </c>
      <c r="R18" s="312">
        <f>('ELAB DE PRECIO'!$E$18*'INGRESO POR VENTAS'!R4)+('ELAB DE PRECIO'!$E$36*'INGRESO POR VENTAS'!R5)+('ELAB DE PRECIO'!$E$46*'INGRESO POR VENTAS'!R6)+('ELAB DE PRECIO'!$E$61*'INGRESO POR VENTAS'!R7)+('ELAB DE PRECIO'!$E$91*'INGRESO POR VENTAS'!R8)+('ELAB DE PRECIO'!$E$105*'INGRESO POR VENTAS'!R9)+('ELAB DE PRECIO'!$E$114*'INGRESO POR VENTAS'!R10)</f>
        <v>37.76</v>
      </c>
      <c r="S18" s="312">
        <f>('ELAB DE PRECIO'!$E$18*'INGRESO POR VENTAS'!S4)+('ELAB DE PRECIO'!$E$36*'INGRESO POR VENTAS'!S5)+('ELAB DE PRECIO'!$E$46*'INGRESO POR VENTAS'!S6)+('ELAB DE PRECIO'!$E$61*'INGRESO POR VENTAS'!S7)+('ELAB DE PRECIO'!$E$91*'INGRESO POR VENTAS'!S8)+('ELAB DE PRECIO'!$E$105*'INGRESO POR VENTAS'!S9)+('ELAB DE PRECIO'!$E$114*'INGRESO POR VENTAS'!S10)</f>
        <v>34.2</v>
      </c>
      <c r="T18" s="312">
        <f>('ELAB DE PRECIO'!$E$18*'INGRESO POR VENTAS'!T4)+('ELAB DE PRECIO'!$E$36*'INGRESO POR VENTAS'!T5)+('ELAB DE PRECIO'!$E$46*'INGRESO POR VENTAS'!T6)+('ELAB DE PRECIO'!$E$61*'INGRESO POR VENTAS'!T7)+('ELAB DE PRECIO'!$E$91*'INGRESO POR VENTAS'!T8)+('ELAB DE PRECIO'!$E$105*'INGRESO POR VENTAS'!T9)+('ELAB DE PRECIO'!$E$114*'INGRESO POR VENTAS'!T10)</f>
        <v>43.76</v>
      </c>
      <c r="U18" s="312">
        <f>('ELAB DE PRECIO'!$E$18*'INGRESO POR VENTAS'!U4)+('ELAB DE PRECIO'!$E$36*'INGRESO POR VENTAS'!U5)+('ELAB DE PRECIO'!$E$46*'INGRESO POR VENTAS'!U6)+('ELAB DE PRECIO'!$E$61*'INGRESO POR VENTAS'!U7)+('ELAB DE PRECIO'!$E$91*'INGRESO POR VENTAS'!U8)+('ELAB DE PRECIO'!$E$105*'INGRESO POR VENTAS'!U9)+('ELAB DE PRECIO'!$E$114*'INGRESO POR VENTAS'!U10)</f>
        <v>43.76</v>
      </c>
      <c r="V18" s="312">
        <f>('ELAB DE PRECIO'!$E$18*'INGRESO POR VENTAS'!V4)+('ELAB DE PRECIO'!$E$36*'INGRESO POR VENTAS'!V5)+('ELAB DE PRECIO'!$E$46*'INGRESO POR VENTAS'!V6)+('ELAB DE PRECIO'!$E$61*'INGRESO POR VENTAS'!V7)+('ELAB DE PRECIO'!$E$91*'INGRESO POR VENTAS'!V8)+('ELAB DE PRECIO'!$E$105*'INGRESO POR VENTAS'!V9)+('ELAB DE PRECIO'!$E$114*'INGRESO POR VENTAS'!V10)</f>
        <v>41</v>
      </c>
      <c r="W18" s="312">
        <f>('ELAB DE PRECIO'!$E$18*'INGRESO POR VENTAS'!W4)+('ELAB DE PRECIO'!$E$36*'INGRESO POR VENTAS'!W5)+('ELAB DE PRECIO'!$E$46*'INGRESO POR VENTAS'!W6)+('ELAB DE PRECIO'!$E$61*'INGRESO POR VENTAS'!W7)+('ELAB DE PRECIO'!$E$91*'INGRESO POR VENTAS'!W8)+('ELAB DE PRECIO'!$E$105*'INGRESO POR VENTAS'!W9)+('ELAB DE PRECIO'!$E$114*'INGRESO POR VENTAS'!W10)</f>
        <v>41</v>
      </c>
      <c r="X18" s="312">
        <f>('ELAB DE PRECIO'!$E$18*'INGRESO POR VENTAS'!X4)+('ELAB DE PRECIO'!$E$36*'INGRESO POR VENTAS'!X5)+('ELAB DE PRECIO'!$E$46*'INGRESO POR VENTAS'!X6)+('ELAB DE PRECIO'!$E$61*'INGRESO POR VENTAS'!X7)+('ELAB DE PRECIO'!$E$91*'INGRESO POR VENTAS'!X8)+('ELAB DE PRECIO'!$E$105*'INGRESO POR VENTAS'!X9)+('ELAB DE PRECIO'!$E$114*'INGRESO POR VENTAS'!X10)</f>
        <v>41</v>
      </c>
      <c r="Y18" s="312">
        <f>('ELAB DE PRECIO'!$E$18*'INGRESO POR VENTAS'!Y4)+('ELAB DE PRECIO'!$E$36*'INGRESO POR VENTAS'!Y5)+('ELAB DE PRECIO'!$E$46*'INGRESO POR VENTAS'!Y6)+('ELAB DE PRECIO'!$E$61*'INGRESO POR VENTAS'!Y7)+('ELAB DE PRECIO'!$E$91*'INGRESO POR VENTAS'!Y8)+('ELAB DE PRECIO'!$E$105*'INGRESO POR VENTAS'!Y9)+('ELAB DE PRECIO'!$E$114*'INGRESO POR VENTAS'!Y10)</f>
        <v>45</v>
      </c>
    </row>
    <row r="19" spans="1:25" ht="12">
      <c r="A19" s="144" t="str">
        <f>'ELAB DE PRECIO'!A32</f>
        <v>Corraderas</v>
      </c>
      <c r="B19" s="312">
        <f>('ELAB DE PRECIO'!$E$32*'INGRESO POR VENTAS'!B5)+('ELAB DE PRECIO'!$E$88*'INGRESO POR VENTAS'!B8)+('ELAB DE PRECIO'!$E$101*'INGRESO POR VENTAS'!B9)</f>
        <v>153.6</v>
      </c>
      <c r="C19" s="312">
        <f>('ELAB DE PRECIO'!$E$32*'INGRESO POR VENTAS'!C5)+('ELAB DE PRECIO'!$E$88*'INGRESO POR VENTAS'!C8)+('ELAB DE PRECIO'!$E$101*'INGRESO POR VENTAS'!C9)</f>
        <v>133.2</v>
      </c>
      <c r="D19" s="312">
        <f>('ELAB DE PRECIO'!$E$32*'INGRESO POR VENTAS'!D5)+('ELAB DE PRECIO'!$E$88*'INGRESO POR VENTAS'!D8)+('ELAB DE PRECIO'!$E$101*'INGRESO POR VENTAS'!D9)</f>
        <v>119.19999999999999</v>
      </c>
      <c r="E19" s="312">
        <f>('ELAB DE PRECIO'!$E$32*'INGRESO POR VENTAS'!E5)+('ELAB DE PRECIO'!$E$88*'INGRESO POR VENTAS'!E8)+('ELAB DE PRECIO'!$E$101*'INGRESO POR VENTAS'!E9)</f>
        <v>105.19999999999999</v>
      </c>
      <c r="F19" s="312">
        <f>('ELAB DE PRECIO'!$E$32*'INGRESO POR VENTAS'!F5)+('ELAB DE PRECIO'!$E$88*'INGRESO POR VENTAS'!F8)+('ELAB DE PRECIO'!$E$101*'INGRESO POR VENTAS'!F9)</f>
        <v>105.19999999999999</v>
      </c>
      <c r="G19" s="312">
        <f>('ELAB DE PRECIO'!$E$32*'INGRESO POR VENTAS'!G5)+('ELAB DE PRECIO'!$E$88*'INGRESO POR VENTAS'!G8)+('ELAB DE PRECIO'!$E$101*'INGRESO POR VENTAS'!G9)</f>
        <v>91.6</v>
      </c>
      <c r="H19" s="312">
        <f>('ELAB DE PRECIO'!$E$32*'INGRESO POR VENTAS'!H5)+('ELAB DE PRECIO'!$E$88*'INGRESO POR VENTAS'!H8)+('ELAB DE PRECIO'!$E$101*'INGRESO POR VENTAS'!H9)</f>
        <v>147.2</v>
      </c>
      <c r="I19" s="312">
        <f>('ELAB DE PRECIO'!$E$32*'INGRESO POR VENTAS'!I5)+('ELAB DE PRECIO'!$E$88*'INGRESO POR VENTAS'!I8)+('ELAB DE PRECIO'!$E$101*'INGRESO POR VENTAS'!I9)</f>
        <v>119.6</v>
      </c>
      <c r="J19" s="312">
        <f>('ELAB DE PRECIO'!$E$32*'INGRESO POR VENTAS'!J5)+('ELAB DE PRECIO'!$E$88*'INGRESO POR VENTAS'!J8)+('ELAB DE PRECIO'!$E$101*'INGRESO POR VENTAS'!J9)</f>
        <v>119.6</v>
      </c>
      <c r="K19" s="312">
        <f>('ELAB DE PRECIO'!$E$32*'INGRESO POR VENTAS'!K5)+('ELAB DE PRECIO'!$E$88*'INGRESO POR VENTAS'!K8)+('ELAB DE PRECIO'!$E$101*'INGRESO POR VENTAS'!K9)</f>
        <v>119.6</v>
      </c>
      <c r="L19" s="312">
        <f>('ELAB DE PRECIO'!$E$32*'INGRESO POR VENTAS'!L5)+('ELAB DE PRECIO'!$E$88*'INGRESO POR VENTAS'!L8)+('ELAB DE PRECIO'!$E$101*'INGRESO POR VENTAS'!L9)</f>
        <v>91.6</v>
      </c>
      <c r="M19" s="312">
        <f>('ELAB DE PRECIO'!$E$32*'INGRESO POR VENTAS'!M5)+('ELAB DE PRECIO'!$E$88*'INGRESO POR VENTAS'!M8)+('ELAB DE PRECIO'!$E$101*'INGRESO POR VENTAS'!M9)</f>
        <v>119.6</v>
      </c>
      <c r="N19" s="312">
        <f>('ELAB DE PRECIO'!$E$32*'INGRESO POR VENTAS'!N5)+('ELAB DE PRECIO'!$E$88*'INGRESO POR VENTAS'!N8)+('ELAB DE PRECIO'!$E$101*'INGRESO POR VENTAS'!N9)</f>
        <v>153.6</v>
      </c>
      <c r="O19" s="312">
        <f>('ELAB DE PRECIO'!$E$32*'INGRESO POR VENTAS'!O5)+('ELAB DE PRECIO'!$E$88*'INGRESO POR VENTAS'!O8)+('ELAB DE PRECIO'!$E$101*'INGRESO POR VENTAS'!O9)</f>
        <v>133.2</v>
      </c>
      <c r="P19" s="312">
        <f>('ELAB DE PRECIO'!$E$32*'INGRESO POR VENTAS'!P5)+('ELAB DE PRECIO'!$E$88*'INGRESO POR VENTAS'!P8)+('ELAB DE PRECIO'!$E$101*'INGRESO POR VENTAS'!P9)</f>
        <v>119.19999999999999</v>
      </c>
      <c r="Q19" s="312">
        <f>('ELAB DE PRECIO'!$E$32*'INGRESO POR VENTAS'!Q5)+('ELAB DE PRECIO'!$E$88*'INGRESO POR VENTAS'!Q8)+('ELAB DE PRECIO'!$E$101*'INGRESO POR VENTAS'!Q9)</f>
        <v>105.19999999999999</v>
      </c>
      <c r="R19" s="312">
        <f>('ELAB DE PRECIO'!$E$32*'INGRESO POR VENTAS'!R5)+('ELAB DE PRECIO'!$E$88*'INGRESO POR VENTAS'!R8)+('ELAB DE PRECIO'!$E$101*'INGRESO POR VENTAS'!R9)</f>
        <v>105.19999999999999</v>
      </c>
      <c r="S19" s="312">
        <f>('ELAB DE PRECIO'!$E$32*'INGRESO POR VENTAS'!S5)+('ELAB DE PRECIO'!$E$88*'INGRESO POR VENTAS'!S8)+('ELAB DE PRECIO'!$E$101*'INGRESO POR VENTAS'!S9)</f>
        <v>91.6</v>
      </c>
      <c r="T19" s="312">
        <f>('ELAB DE PRECIO'!$E$32*'INGRESO POR VENTAS'!T5)+('ELAB DE PRECIO'!$E$88*'INGRESO POR VENTAS'!T8)+('ELAB DE PRECIO'!$E$101*'INGRESO POR VENTAS'!T9)</f>
        <v>147.2</v>
      </c>
      <c r="U19" s="312">
        <f>('ELAB DE PRECIO'!$E$32*'INGRESO POR VENTAS'!U5)+('ELAB DE PRECIO'!$E$88*'INGRESO POR VENTAS'!U8)+('ELAB DE PRECIO'!$E$101*'INGRESO POR VENTAS'!U9)</f>
        <v>119.6</v>
      </c>
      <c r="V19" s="312">
        <f>('ELAB DE PRECIO'!$E$32*'INGRESO POR VENTAS'!V5)+('ELAB DE PRECIO'!$E$88*'INGRESO POR VENTAS'!V8)+('ELAB DE PRECIO'!$E$101*'INGRESO POR VENTAS'!V9)</f>
        <v>119.6</v>
      </c>
      <c r="W19" s="312">
        <f>('ELAB DE PRECIO'!$E$32*'INGRESO POR VENTAS'!W5)+('ELAB DE PRECIO'!$E$88*'INGRESO POR VENTAS'!W8)+('ELAB DE PRECIO'!$E$101*'INGRESO POR VENTAS'!W9)</f>
        <v>119.6</v>
      </c>
      <c r="X19" s="312">
        <f>('ELAB DE PRECIO'!$E$32*'INGRESO POR VENTAS'!X5)+('ELAB DE PRECIO'!$E$88*'INGRESO POR VENTAS'!X8)+('ELAB DE PRECIO'!$E$101*'INGRESO POR VENTAS'!X9)</f>
        <v>91.6</v>
      </c>
      <c r="Y19" s="312">
        <f>('ELAB DE PRECIO'!$E$32*'INGRESO POR VENTAS'!Y5)+('ELAB DE PRECIO'!$E$88*'INGRESO POR VENTAS'!Y8)+('ELAB DE PRECIO'!$E$101*'INGRESO POR VENTAS'!Y9)</f>
        <v>119.6</v>
      </c>
    </row>
    <row r="20" spans="1:25" ht="12">
      <c r="A20" s="144" t="str">
        <f>'ELAB DE PRECIO'!A34</f>
        <v>Canoplas</v>
      </c>
      <c r="B20" s="312">
        <f>('ELAB DE PRECIO'!$E$34*'INGRESO POR VENTAS'!B5)</f>
        <v>6.4</v>
      </c>
      <c r="C20" s="312">
        <f>('ELAB DE PRECIO'!$E$34*'INGRESO POR VENTAS'!C5)</f>
        <v>6.4</v>
      </c>
      <c r="D20" s="312">
        <f>('ELAB DE PRECIO'!$E$34*'INGRESO POR VENTAS'!D5)</f>
        <v>6.4</v>
      </c>
      <c r="E20" s="312">
        <f>('ELAB DE PRECIO'!$E$34*'INGRESO POR VENTAS'!E5)</f>
        <v>6.4</v>
      </c>
      <c r="F20" s="312">
        <f>('ELAB DE PRECIO'!$E$34*'INGRESO POR VENTAS'!F5)</f>
        <v>6.4</v>
      </c>
      <c r="G20" s="312">
        <f>('ELAB DE PRECIO'!$E$34*'INGRESO POR VENTAS'!G5)</f>
        <v>4.800000000000001</v>
      </c>
      <c r="H20" s="312">
        <f>('ELAB DE PRECIO'!$E$34*'INGRESO POR VENTAS'!H5)</f>
        <v>6.4</v>
      </c>
      <c r="I20" s="312">
        <f>('ELAB DE PRECIO'!$E$34*'INGRESO POR VENTAS'!I5)</f>
        <v>4.800000000000001</v>
      </c>
      <c r="J20" s="312">
        <f>('ELAB DE PRECIO'!$E$34*'INGRESO POR VENTAS'!J5)</f>
        <v>4.800000000000001</v>
      </c>
      <c r="K20" s="312">
        <f>('ELAB DE PRECIO'!$E$34*'INGRESO POR VENTAS'!K5)</f>
        <v>4.800000000000001</v>
      </c>
      <c r="L20" s="312">
        <f>('ELAB DE PRECIO'!$E$34*'INGRESO POR VENTAS'!L5)</f>
        <v>4.800000000000001</v>
      </c>
      <c r="M20" s="312">
        <f>('ELAB DE PRECIO'!$E$34*'INGRESO POR VENTAS'!M5)</f>
        <v>4.800000000000001</v>
      </c>
      <c r="N20" s="312">
        <f>('ELAB DE PRECIO'!$E$34*'INGRESO POR VENTAS'!N5)</f>
        <v>6.4</v>
      </c>
      <c r="O20" s="312">
        <f>('ELAB DE PRECIO'!$E$34*'INGRESO POR VENTAS'!O5)</f>
        <v>6.4</v>
      </c>
      <c r="P20" s="312">
        <f>('ELAB DE PRECIO'!$E$34*'INGRESO POR VENTAS'!P5)</f>
        <v>6.4</v>
      </c>
      <c r="Q20" s="312">
        <f>('ELAB DE PRECIO'!$E$34*'INGRESO POR VENTAS'!Q5)</f>
        <v>6.4</v>
      </c>
      <c r="R20" s="312">
        <f>('ELAB DE PRECIO'!$E$34*'INGRESO POR VENTAS'!R5)</f>
        <v>6.4</v>
      </c>
      <c r="S20" s="312">
        <f>('ELAB DE PRECIO'!$E$34*'INGRESO POR VENTAS'!S5)</f>
        <v>4.800000000000001</v>
      </c>
      <c r="T20" s="312">
        <f>('ELAB DE PRECIO'!$E$34*'INGRESO POR VENTAS'!T5)</f>
        <v>6.4</v>
      </c>
      <c r="U20" s="312">
        <f>('ELAB DE PRECIO'!$E$34*'INGRESO POR VENTAS'!U5)</f>
        <v>4.800000000000001</v>
      </c>
      <c r="V20" s="312">
        <f>('ELAB DE PRECIO'!$E$34*'INGRESO POR VENTAS'!V5)</f>
        <v>4.800000000000001</v>
      </c>
      <c r="W20" s="312">
        <f>('ELAB DE PRECIO'!$E$34*'INGRESO POR VENTAS'!W5)</f>
        <v>4.800000000000001</v>
      </c>
      <c r="X20" s="312">
        <f>('ELAB DE PRECIO'!$E$34*'INGRESO POR VENTAS'!X5)</f>
        <v>4.800000000000001</v>
      </c>
      <c r="Y20" s="312">
        <f>('ELAB DE PRECIO'!$E$34*'INGRESO POR VENTAS'!Y5)</f>
        <v>4.800000000000001</v>
      </c>
    </row>
    <row r="21" spans="1:25" ht="12">
      <c r="A21" s="144" t="str">
        <f>'ELAB DE PRECIO'!A48</f>
        <v>soporte cromados</v>
      </c>
      <c r="B21" s="312">
        <f>('ELAB DE PRECIO'!$E$48*'INGRESO POR VENTAS'!B6)+('ELAB DE PRECIO'!$E$70*'INGRESO POR VENTAS'!B7)</f>
        <v>40</v>
      </c>
      <c r="C21" s="312">
        <f>('ELAB DE PRECIO'!$E$48*'INGRESO POR VENTAS'!C6)+('ELAB DE PRECIO'!$E$70*'INGRESO POR VENTAS'!C7)</f>
        <v>40</v>
      </c>
      <c r="D21" s="312">
        <f>('ELAB DE PRECIO'!$E$48*'INGRESO POR VENTAS'!D6)+('ELAB DE PRECIO'!$E$70*'INGRESO POR VENTAS'!D7)</f>
        <v>40</v>
      </c>
      <c r="E21" s="312">
        <f>('ELAB DE PRECIO'!$E$48*'INGRESO POR VENTAS'!E6)+('ELAB DE PRECIO'!$E$70*'INGRESO POR VENTAS'!E7)</f>
        <v>40</v>
      </c>
      <c r="F21" s="312">
        <f>('ELAB DE PRECIO'!$E$48*'INGRESO POR VENTAS'!F6)+('ELAB DE PRECIO'!$E$70*'INGRESO POR VENTAS'!F7)</f>
        <v>32</v>
      </c>
      <c r="G21" s="312">
        <f>('ELAB DE PRECIO'!$E$48*'INGRESO POR VENTAS'!G6)+('ELAB DE PRECIO'!$E$70*'INGRESO POR VENTAS'!G7)</f>
        <v>40</v>
      </c>
      <c r="H21" s="312">
        <f>('ELAB DE PRECIO'!$E$48*'INGRESO POR VENTAS'!H6)+('ELAB DE PRECIO'!$E$70*'INGRESO POR VENTAS'!H7)</f>
        <v>32</v>
      </c>
      <c r="I21" s="312">
        <f>('ELAB DE PRECIO'!$E$48*'INGRESO POR VENTAS'!I6)+('ELAB DE PRECIO'!$E$70*'INGRESO POR VENTAS'!I7)</f>
        <v>48</v>
      </c>
      <c r="J21" s="312">
        <f>('ELAB DE PRECIO'!$E$48*'INGRESO POR VENTAS'!J6)+('ELAB DE PRECIO'!$E$70*'INGRESO POR VENTAS'!J7)</f>
        <v>48</v>
      </c>
      <c r="K21" s="312">
        <f>('ELAB DE PRECIO'!$E$48*'INGRESO POR VENTAS'!K6)+('ELAB DE PRECIO'!$E$70*'INGRESO POR VENTAS'!K7)</f>
        <v>48</v>
      </c>
      <c r="L21" s="312">
        <f>('ELAB DE PRECIO'!$E$48*'INGRESO POR VENTAS'!L6)+('ELAB DE PRECIO'!$E$70*'INGRESO POR VENTAS'!L7)</f>
        <v>64</v>
      </c>
      <c r="M21" s="312">
        <f>('ELAB DE PRECIO'!$E$48*'INGRESO POR VENTAS'!M6)+('ELAB DE PRECIO'!$E$70*'INGRESO POR VENTAS'!M7)</f>
        <v>64</v>
      </c>
      <c r="N21" s="312">
        <f>('ELAB DE PRECIO'!$E$48*'INGRESO POR VENTAS'!N6)+('ELAB DE PRECIO'!$E$70*'INGRESO POR VENTAS'!N7)</f>
        <v>40</v>
      </c>
      <c r="O21" s="312">
        <f>('ELAB DE PRECIO'!$E$48*'INGRESO POR VENTAS'!O6)+('ELAB DE PRECIO'!$E$70*'INGRESO POR VENTAS'!O7)</f>
        <v>40</v>
      </c>
      <c r="P21" s="312">
        <f>('ELAB DE PRECIO'!$E$48*'INGRESO POR VENTAS'!P6)+('ELAB DE PRECIO'!$E$70*'INGRESO POR VENTAS'!P7)</f>
        <v>40</v>
      </c>
      <c r="Q21" s="312">
        <f>('ELAB DE PRECIO'!$E$48*'INGRESO POR VENTAS'!Q6)+('ELAB DE PRECIO'!$E$70*'INGRESO POR VENTAS'!Q7)</f>
        <v>40</v>
      </c>
      <c r="R21" s="312">
        <f>('ELAB DE PRECIO'!$E$48*'INGRESO POR VENTAS'!R6)+('ELAB DE PRECIO'!$E$70*'INGRESO POR VENTAS'!R7)</f>
        <v>32</v>
      </c>
      <c r="S21" s="312">
        <f>('ELAB DE PRECIO'!$E$48*'INGRESO POR VENTAS'!S6)+('ELAB DE PRECIO'!$E$70*'INGRESO POR VENTAS'!S7)</f>
        <v>40</v>
      </c>
      <c r="T21" s="312">
        <f>('ELAB DE PRECIO'!$E$48*'INGRESO POR VENTAS'!T6)+('ELAB DE PRECIO'!$E$70*'INGRESO POR VENTAS'!T7)</f>
        <v>32</v>
      </c>
      <c r="U21" s="312">
        <f>('ELAB DE PRECIO'!$E$48*'INGRESO POR VENTAS'!U6)+('ELAB DE PRECIO'!$E$70*'INGRESO POR VENTAS'!U7)</f>
        <v>48</v>
      </c>
      <c r="V21" s="312">
        <f>('ELAB DE PRECIO'!$E$48*'INGRESO POR VENTAS'!V6)+('ELAB DE PRECIO'!$E$70*'INGRESO POR VENTAS'!V7)</f>
        <v>48</v>
      </c>
      <c r="W21" s="312">
        <f>('ELAB DE PRECIO'!$E$48*'INGRESO POR VENTAS'!W6)+('ELAB DE PRECIO'!$E$70*'INGRESO POR VENTAS'!W7)</f>
        <v>48</v>
      </c>
      <c r="X21" s="312">
        <f>('ELAB DE PRECIO'!$E$48*'INGRESO POR VENTAS'!X6)+('ELAB DE PRECIO'!$E$70*'INGRESO POR VENTAS'!X7)</f>
        <v>64</v>
      </c>
      <c r="Y21" s="312">
        <f>('ELAB DE PRECIO'!$E$48*'INGRESO POR VENTAS'!Y6)+('ELAB DE PRECIO'!$E$70*'INGRESO POR VENTAS'!Y7)</f>
        <v>64</v>
      </c>
    </row>
    <row r="22" spans="1:25" ht="12">
      <c r="A22" s="144" t="str">
        <f>'ELAB DE PRECIO'!A49</f>
        <v>vidrio</v>
      </c>
      <c r="B22" s="312">
        <f>('ELAB DE PRECIO'!$E$49*'INGRESO POR VENTAS'!B6)+('ELAB DE PRECIO'!$E$63*'INGRESO POR VENTAS'!B7)+('ELAB DE PRECIO'!$E$87*'INGRESO POR VENTAS'!B8)</f>
        <v>261</v>
      </c>
      <c r="C22" s="312">
        <f>('ELAB DE PRECIO'!$E$49*'INGRESO POR VENTAS'!C6)+('ELAB DE PRECIO'!$E$63*'INGRESO POR VENTAS'!C7)+('ELAB DE PRECIO'!$E$87*'INGRESO POR VENTAS'!C8)</f>
        <v>291</v>
      </c>
      <c r="D22" s="312">
        <f>('ELAB DE PRECIO'!$E$49*'INGRESO POR VENTAS'!D6)+('ELAB DE PRECIO'!$E$63*'INGRESO POR VENTAS'!D7)+('ELAB DE PRECIO'!$E$87*'INGRESO POR VENTAS'!D8)</f>
        <v>291</v>
      </c>
      <c r="E22" s="312">
        <f>('ELAB DE PRECIO'!$E$49*'INGRESO POR VENTAS'!E6)+('ELAB DE PRECIO'!$E$63*'INGRESO POR VENTAS'!E7)+('ELAB DE PRECIO'!$E$87*'INGRESO POR VENTAS'!E8)</f>
        <v>291</v>
      </c>
      <c r="F22" s="312">
        <f>('ELAB DE PRECIO'!$E$49*'INGRESO POR VENTAS'!F6)+('ELAB DE PRECIO'!$E$63*'INGRESO POR VENTAS'!F7)+('ELAB DE PRECIO'!$E$87*'INGRESO POR VENTAS'!F8)</f>
        <v>264</v>
      </c>
      <c r="G22" s="312">
        <f>('ELAB DE PRECIO'!$E$49*'INGRESO POR VENTAS'!G6)+('ELAB DE PRECIO'!$E$63*'INGRESO POR VENTAS'!G7)+('ELAB DE PRECIO'!$E$87*'INGRESO POR VENTAS'!G8)</f>
        <v>291</v>
      </c>
      <c r="H22" s="312">
        <f>('ELAB DE PRECIO'!$E$49*'INGRESO POR VENTAS'!H6)+('ELAB DE PRECIO'!$E$63*'INGRESO POR VENTAS'!H7)+('ELAB DE PRECIO'!$E$87*'INGRESO POR VENTAS'!H8)</f>
        <v>264</v>
      </c>
      <c r="I22" s="312">
        <f>('ELAB DE PRECIO'!$E$49*'INGRESO POR VENTAS'!I6)+('ELAB DE PRECIO'!$E$63*'INGRESO POR VENTAS'!I7)+('ELAB DE PRECIO'!$E$87*'INGRESO POR VENTAS'!I8)</f>
        <v>384</v>
      </c>
      <c r="J22" s="312">
        <f>('ELAB DE PRECIO'!$E$49*'INGRESO POR VENTAS'!J6)+('ELAB DE PRECIO'!$E$63*'INGRESO POR VENTAS'!J7)+('ELAB DE PRECIO'!$E$87*'INGRESO POR VENTAS'!J8)</f>
        <v>384</v>
      </c>
      <c r="K22" s="312">
        <f>('ELAB DE PRECIO'!$E$49*'INGRESO POR VENTAS'!K6)+('ELAB DE PRECIO'!$E$63*'INGRESO POR VENTAS'!K7)+('ELAB DE PRECIO'!$E$87*'INGRESO POR VENTAS'!K8)</f>
        <v>384</v>
      </c>
      <c r="L22" s="312">
        <f>('ELAB DE PRECIO'!$E$49*'INGRESO POR VENTAS'!L6)+('ELAB DE PRECIO'!$E$63*'INGRESO POR VENTAS'!L7)+('ELAB DE PRECIO'!$E$87*'INGRESO POR VENTAS'!L8)</f>
        <v>504</v>
      </c>
      <c r="M22" s="312">
        <f>('ELAB DE PRECIO'!$E$49*'INGRESO POR VENTAS'!M6)+('ELAB DE PRECIO'!$E$63*'INGRESO POR VENTAS'!M7)+('ELAB DE PRECIO'!$E$87*'INGRESO POR VENTAS'!M8)</f>
        <v>504</v>
      </c>
      <c r="N22" s="312">
        <f>('ELAB DE PRECIO'!$E$49*'INGRESO POR VENTAS'!N6)+('ELAB DE PRECIO'!$E$63*'INGRESO POR VENTAS'!N7)+('ELAB DE PRECIO'!$E$87*'INGRESO POR VENTAS'!N8)</f>
        <v>261</v>
      </c>
      <c r="O22" s="312">
        <f>('ELAB DE PRECIO'!$E$49*'INGRESO POR VENTAS'!O6)+('ELAB DE PRECIO'!$E$63*'INGRESO POR VENTAS'!O7)+('ELAB DE PRECIO'!$E$87*'INGRESO POR VENTAS'!O8)</f>
        <v>291</v>
      </c>
      <c r="P22" s="312">
        <f>('ELAB DE PRECIO'!$E$49*'INGRESO POR VENTAS'!P6)+('ELAB DE PRECIO'!$E$63*'INGRESO POR VENTAS'!P7)+('ELAB DE PRECIO'!$E$87*'INGRESO POR VENTAS'!P8)</f>
        <v>291</v>
      </c>
      <c r="Q22" s="312">
        <f>('ELAB DE PRECIO'!$E$49*'INGRESO POR VENTAS'!Q6)+('ELAB DE PRECIO'!$E$63*'INGRESO POR VENTAS'!Q7)+('ELAB DE PRECIO'!$E$87*'INGRESO POR VENTAS'!Q8)</f>
        <v>291</v>
      </c>
      <c r="R22" s="312">
        <f>('ELAB DE PRECIO'!$E$49*'INGRESO POR VENTAS'!R6)+('ELAB DE PRECIO'!$E$63*'INGRESO POR VENTAS'!R7)+('ELAB DE PRECIO'!$E$87*'INGRESO POR VENTAS'!R8)</f>
        <v>264</v>
      </c>
      <c r="S22" s="312">
        <f>('ELAB DE PRECIO'!$E$49*'INGRESO POR VENTAS'!S6)+('ELAB DE PRECIO'!$E$63*'INGRESO POR VENTAS'!S7)+('ELAB DE PRECIO'!$E$87*'INGRESO POR VENTAS'!S8)</f>
        <v>291</v>
      </c>
      <c r="T22" s="312">
        <f>('ELAB DE PRECIO'!$E$49*'INGRESO POR VENTAS'!T6)+('ELAB DE PRECIO'!$E$63*'INGRESO POR VENTAS'!T7)+('ELAB DE PRECIO'!$E$87*'INGRESO POR VENTAS'!T8)</f>
        <v>264</v>
      </c>
      <c r="U22" s="312">
        <f>('ELAB DE PRECIO'!$E$49*'INGRESO POR VENTAS'!U6)+('ELAB DE PRECIO'!$E$63*'INGRESO POR VENTAS'!U7)+('ELAB DE PRECIO'!$E$87*'INGRESO POR VENTAS'!U8)</f>
        <v>384</v>
      </c>
      <c r="V22" s="312">
        <f>('ELAB DE PRECIO'!$E$49*'INGRESO POR VENTAS'!V6)+('ELAB DE PRECIO'!$E$63*'INGRESO POR VENTAS'!V7)+('ELAB DE PRECIO'!$E$87*'INGRESO POR VENTAS'!V8)</f>
        <v>384</v>
      </c>
      <c r="W22" s="312">
        <f>('ELAB DE PRECIO'!$E$49*'INGRESO POR VENTAS'!W6)+('ELAB DE PRECIO'!$E$63*'INGRESO POR VENTAS'!W7)+('ELAB DE PRECIO'!$E$87*'INGRESO POR VENTAS'!W8)</f>
        <v>384</v>
      </c>
      <c r="X22" s="312">
        <f>('ELAB DE PRECIO'!$E$49*'INGRESO POR VENTAS'!X6)+('ELAB DE PRECIO'!$E$63*'INGRESO POR VENTAS'!X7)+('ELAB DE PRECIO'!$E$87*'INGRESO POR VENTAS'!X8)</f>
        <v>504</v>
      </c>
      <c r="Y22" s="312">
        <f>('ELAB DE PRECIO'!$E$49*'INGRESO POR VENTAS'!Y6)+('ELAB DE PRECIO'!$E$63*'INGRESO POR VENTAS'!Y7)+('ELAB DE PRECIO'!$E$87*'INGRESO POR VENTAS'!Y8)</f>
        <v>504</v>
      </c>
    </row>
    <row r="23" spans="1:25" ht="12">
      <c r="A23" s="144" t="str">
        <f>'ELAB DE PRECIO'!A65</f>
        <v>espejo</v>
      </c>
      <c r="B23" s="312">
        <f>('ELAB DE PRECIO'!$E$65*'INGRESO POR VENTAS'!B7)</f>
        <v>70</v>
      </c>
      <c r="C23" s="312">
        <f>('ELAB DE PRECIO'!$E$65*'INGRESO POR VENTAS'!C7)</f>
        <v>70</v>
      </c>
      <c r="D23" s="312">
        <f>('ELAB DE PRECIO'!$E$65*'INGRESO POR VENTAS'!D7)</f>
        <v>70</v>
      </c>
      <c r="E23" s="312">
        <f>('ELAB DE PRECIO'!$E$65*'INGRESO POR VENTAS'!E7)</f>
        <v>70</v>
      </c>
      <c r="F23" s="312">
        <f>('ELAB DE PRECIO'!$E$65*'INGRESO POR VENTAS'!F7)</f>
        <v>70</v>
      </c>
      <c r="G23" s="312">
        <f>('ELAB DE PRECIO'!$E$65*'INGRESO POR VENTAS'!G7)</f>
        <v>70</v>
      </c>
      <c r="H23" s="312">
        <f>('ELAB DE PRECIO'!$E$65*'INGRESO POR VENTAS'!H7)</f>
        <v>70</v>
      </c>
      <c r="I23" s="312">
        <f>('ELAB DE PRECIO'!$E$65*'INGRESO POR VENTAS'!I7)</f>
        <v>140</v>
      </c>
      <c r="J23" s="312">
        <f>('ELAB DE PRECIO'!$E$65*'INGRESO POR VENTAS'!J7)</f>
        <v>140</v>
      </c>
      <c r="K23" s="312">
        <f>('ELAB DE PRECIO'!$E$65*'INGRESO POR VENTAS'!K7)</f>
        <v>140</v>
      </c>
      <c r="L23" s="312">
        <f>('ELAB DE PRECIO'!$E$65*'INGRESO POR VENTAS'!L7)</f>
        <v>210</v>
      </c>
      <c r="M23" s="312">
        <f>('ELAB DE PRECIO'!$E$65*'INGRESO POR VENTAS'!M7)</f>
        <v>210</v>
      </c>
      <c r="N23" s="312">
        <f>('ELAB DE PRECIO'!$E$65*'INGRESO POR VENTAS'!N7)</f>
        <v>70</v>
      </c>
      <c r="O23" s="312">
        <f>('ELAB DE PRECIO'!$E$65*'INGRESO POR VENTAS'!O7)</f>
        <v>70</v>
      </c>
      <c r="P23" s="312">
        <f>('ELAB DE PRECIO'!$E$65*'INGRESO POR VENTAS'!P7)</f>
        <v>70</v>
      </c>
      <c r="Q23" s="312">
        <f>('ELAB DE PRECIO'!$E$65*'INGRESO POR VENTAS'!Q7)</f>
        <v>70</v>
      </c>
      <c r="R23" s="312">
        <f>('ELAB DE PRECIO'!$E$65*'INGRESO POR VENTAS'!R7)</f>
        <v>70</v>
      </c>
      <c r="S23" s="312">
        <f>('ELAB DE PRECIO'!$E$65*'INGRESO POR VENTAS'!S7)</f>
        <v>70</v>
      </c>
      <c r="T23" s="312">
        <f>('ELAB DE PRECIO'!$E$65*'INGRESO POR VENTAS'!T7)</f>
        <v>70</v>
      </c>
      <c r="U23" s="312">
        <f>('ELAB DE PRECIO'!$E$65*'INGRESO POR VENTAS'!U7)</f>
        <v>140</v>
      </c>
      <c r="V23" s="312">
        <f>('ELAB DE PRECIO'!$E$65*'INGRESO POR VENTAS'!V7)</f>
        <v>140</v>
      </c>
      <c r="W23" s="312">
        <f>('ELAB DE PRECIO'!$E$65*'INGRESO POR VENTAS'!W7)</f>
        <v>140</v>
      </c>
      <c r="X23" s="312">
        <f>('ELAB DE PRECIO'!$E$65*'INGRESO POR VENTAS'!X7)</f>
        <v>210</v>
      </c>
      <c r="Y23" s="312">
        <f>('ELAB DE PRECIO'!$E$65*'INGRESO POR VENTAS'!Y7)</f>
        <v>210</v>
      </c>
    </row>
    <row r="24" spans="1:25" ht="12">
      <c r="A24" s="144" t="str">
        <f>'ELAB DE PRECIO'!A66</f>
        <v>soporte acrilico</v>
      </c>
      <c r="B24" s="312">
        <f>('ELAB DE PRECIO'!$E$66*'INGRESO POR VENTAS'!B7)</f>
        <v>1.7999999999999998</v>
      </c>
      <c r="C24" s="312">
        <f>('ELAB DE PRECIO'!$E$66*'INGRESO POR VENTAS'!C7)</f>
        <v>1.7999999999999998</v>
      </c>
      <c r="D24" s="312">
        <f>('ELAB DE PRECIO'!$E$66*'INGRESO POR VENTAS'!D7)</f>
        <v>1.7999999999999998</v>
      </c>
      <c r="E24" s="312">
        <f>('ELAB DE PRECIO'!$E$66*'INGRESO POR VENTAS'!E7)</f>
        <v>1.7999999999999998</v>
      </c>
      <c r="F24" s="312">
        <f>('ELAB DE PRECIO'!$E$66*'INGRESO POR VENTAS'!F7)</f>
        <v>1.7999999999999998</v>
      </c>
      <c r="G24" s="312">
        <f>('ELAB DE PRECIO'!$E$66*'INGRESO POR VENTAS'!G7)</f>
        <v>1.7999999999999998</v>
      </c>
      <c r="H24" s="312">
        <f>('ELAB DE PRECIO'!$E$66*'INGRESO POR VENTAS'!H7)</f>
        <v>1.7999999999999998</v>
      </c>
      <c r="I24" s="312">
        <f>('ELAB DE PRECIO'!$E$66*'INGRESO POR VENTAS'!I7)</f>
        <v>3.5999999999999996</v>
      </c>
      <c r="J24" s="312">
        <f>('ELAB DE PRECIO'!$E$66*'INGRESO POR VENTAS'!J7)</f>
        <v>3.5999999999999996</v>
      </c>
      <c r="K24" s="312">
        <f>('ELAB DE PRECIO'!$E$66*'INGRESO POR VENTAS'!K7)</f>
        <v>3.5999999999999996</v>
      </c>
      <c r="L24" s="312">
        <f>('ELAB DE PRECIO'!$E$66*'INGRESO POR VENTAS'!L7)</f>
        <v>5.3999999999999995</v>
      </c>
      <c r="M24" s="312">
        <f>('ELAB DE PRECIO'!$E$66*'INGRESO POR VENTAS'!M7)</f>
        <v>5.3999999999999995</v>
      </c>
      <c r="N24" s="312">
        <f>('ELAB DE PRECIO'!$E$66*'INGRESO POR VENTAS'!N7)</f>
        <v>1.7999999999999998</v>
      </c>
      <c r="O24" s="312">
        <f>('ELAB DE PRECIO'!$E$66*'INGRESO POR VENTAS'!O7)</f>
        <v>1.7999999999999998</v>
      </c>
      <c r="P24" s="312">
        <f>('ELAB DE PRECIO'!$E$66*'INGRESO POR VENTAS'!P7)</f>
        <v>1.7999999999999998</v>
      </c>
      <c r="Q24" s="312">
        <f>('ELAB DE PRECIO'!$E$66*'INGRESO POR VENTAS'!Q7)</f>
        <v>1.7999999999999998</v>
      </c>
      <c r="R24" s="312">
        <f>('ELAB DE PRECIO'!$E$66*'INGRESO POR VENTAS'!R7)</f>
        <v>1.7999999999999998</v>
      </c>
      <c r="S24" s="312">
        <f>('ELAB DE PRECIO'!$E$66*'INGRESO POR VENTAS'!S7)</f>
        <v>1.7999999999999998</v>
      </c>
      <c r="T24" s="312">
        <f>('ELAB DE PRECIO'!$E$66*'INGRESO POR VENTAS'!T7)</f>
        <v>1.7999999999999998</v>
      </c>
      <c r="U24" s="312">
        <f>('ELAB DE PRECIO'!$E$66*'INGRESO POR VENTAS'!U7)</f>
        <v>3.5999999999999996</v>
      </c>
      <c r="V24" s="312">
        <f>('ELAB DE PRECIO'!$E$66*'INGRESO POR VENTAS'!V7)</f>
        <v>3.5999999999999996</v>
      </c>
      <c r="W24" s="312">
        <f>('ELAB DE PRECIO'!$E$66*'INGRESO POR VENTAS'!W7)</f>
        <v>3.5999999999999996</v>
      </c>
      <c r="X24" s="312">
        <f>('ELAB DE PRECIO'!$E$66*'INGRESO POR VENTAS'!X7)</f>
        <v>5.3999999999999995</v>
      </c>
      <c r="Y24" s="312">
        <f>('ELAB DE PRECIO'!$E$66*'INGRESO POR VENTAS'!Y7)</f>
        <v>5.3999999999999995</v>
      </c>
    </row>
    <row r="25" spans="1:25" ht="12">
      <c r="A25" s="144" t="str">
        <f>'ELAB DE PRECIO'!A67</f>
        <v>juegos de push</v>
      </c>
      <c r="B25" s="312">
        <f>('ELAB DE PRECIO'!$E$67*'INGRESO POR VENTAS'!B7)</f>
        <v>17</v>
      </c>
      <c r="C25" s="312">
        <f>('ELAB DE PRECIO'!$E$67*'INGRESO POR VENTAS'!C7)</f>
        <v>17</v>
      </c>
      <c r="D25" s="312">
        <f>('ELAB DE PRECIO'!$E$67*'INGRESO POR VENTAS'!D7)</f>
        <v>17</v>
      </c>
      <c r="E25" s="312">
        <f>('ELAB DE PRECIO'!$E$67*'INGRESO POR VENTAS'!E7)</f>
        <v>17</v>
      </c>
      <c r="F25" s="312">
        <f>('ELAB DE PRECIO'!$E$67*'INGRESO POR VENTAS'!F7)</f>
        <v>17</v>
      </c>
      <c r="G25" s="312">
        <f>('ELAB DE PRECIO'!$E$67*'INGRESO POR VENTAS'!G7)</f>
        <v>17</v>
      </c>
      <c r="H25" s="312">
        <f>('ELAB DE PRECIO'!$E$67*'INGRESO POR VENTAS'!H7)</f>
        <v>17</v>
      </c>
      <c r="I25" s="312">
        <f>('ELAB DE PRECIO'!$E$67*'INGRESO POR VENTAS'!I7)</f>
        <v>34</v>
      </c>
      <c r="J25" s="312">
        <f>('ELAB DE PRECIO'!$E$67*'INGRESO POR VENTAS'!J7)</f>
        <v>34</v>
      </c>
      <c r="K25" s="312">
        <f>('ELAB DE PRECIO'!$E$67*'INGRESO POR VENTAS'!K7)</f>
        <v>34</v>
      </c>
      <c r="L25" s="312">
        <f>('ELAB DE PRECIO'!$E$67*'INGRESO POR VENTAS'!L7)</f>
        <v>51</v>
      </c>
      <c r="M25" s="312">
        <f>('ELAB DE PRECIO'!$E$67*'INGRESO POR VENTAS'!M7)</f>
        <v>51</v>
      </c>
      <c r="N25" s="312">
        <f>('ELAB DE PRECIO'!$E$67*'INGRESO POR VENTAS'!N7)</f>
        <v>17</v>
      </c>
      <c r="O25" s="312">
        <f>('ELAB DE PRECIO'!$E$67*'INGRESO POR VENTAS'!O7)</f>
        <v>17</v>
      </c>
      <c r="P25" s="312">
        <f>('ELAB DE PRECIO'!$E$67*'INGRESO POR VENTAS'!P7)</f>
        <v>17</v>
      </c>
      <c r="Q25" s="312">
        <f>('ELAB DE PRECIO'!$E$67*'INGRESO POR VENTAS'!Q7)</f>
        <v>17</v>
      </c>
      <c r="R25" s="312">
        <f>('ELAB DE PRECIO'!$E$67*'INGRESO POR VENTAS'!R7)</f>
        <v>17</v>
      </c>
      <c r="S25" s="312">
        <f>('ELAB DE PRECIO'!$E$67*'INGRESO POR VENTAS'!S7)</f>
        <v>17</v>
      </c>
      <c r="T25" s="312">
        <f>('ELAB DE PRECIO'!$E$67*'INGRESO POR VENTAS'!T7)</f>
        <v>17</v>
      </c>
      <c r="U25" s="312">
        <f>('ELAB DE PRECIO'!$E$67*'INGRESO POR VENTAS'!U7)</f>
        <v>34</v>
      </c>
      <c r="V25" s="312">
        <f>('ELAB DE PRECIO'!$E$67*'INGRESO POR VENTAS'!V7)</f>
        <v>34</v>
      </c>
      <c r="W25" s="312">
        <f>('ELAB DE PRECIO'!$E$67*'INGRESO POR VENTAS'!W7)</f>
        <v>34</v>
      </c>
      <c r="X25" s="312">
        <f>('ELAB DE PRECIO'!$E$67*'INGRESO POR VENTAS'!X7)</f>
        <v>51</v>
      </c>
      <c r="Y25" s="312">
        <f>('ELAB DE PRECIO'!$E$67*'INGRESO POR VENTAS'!Y7)</f>
        <v>51</v>
      </c>
    </row>
    <row r="26" spans="1:25" ht="12">
      <c r="A26" s="144" t="str">
        <f>'ELAB DE PRECIO'!A69</f>
        <v>tapcanto pbc</v>
      </c>
      <c r="B26" s="312">
        <f>('ELAB DE PRECIO'!$E$69*'INGRESO POR VENTAS'!B7)+('ELAB DE PRECIO'!$E$103*'INGRESO POR VENTAS'!B9)</f>
        <v>69.6</v>
      </c>
      <c r="C26" s="312">
        <f>('ELAB DE PRECIO'!$E$69*'INGRESO POR VENTAS'!C7)+('ELAB DE PRECIO'!$E$103*'INGRESO POR VENTAS'!C9)</f>
        <v>50.4</v>
      </c>
      <c r="D26" s="312">
        <f>('ELAB DE PRECIO'!$E$69*'INGRESO POR VENTAS'!D7)+('ELAB DE PRECIO'!$E$103*'INGRESO POR VENTAS'!D9)</f>
        <v>40.8</v>
      </c>
      <c r="E26" s="312">
        <f>('ELAB DE PRECIO'!$E$69*'INGRESO POR VENTAS'!E7)+('ELAB DE PRECIO'!$E$103*'INGRESO POR VENTAS'!E9)</f>
        <v>31.2</v>
      </c>
      <c r="F26" s="312">
        <f>('ELAB DE PRECIO'!$E$69*'INGRESO POR VENTAS'!F7)+('ELAB DE PRECIO'!$E$103*'INGRESO POR VENTAS'!F9)</f>
        <v>31.2</v>
      </c>
      <c r="G26" s="312">
        <f>('ELAB DE PRECIO'!$E$69*'INGRESO POR VENTAS'!G7)+('ELAB DE PRECIO'!$E$103*'INGRESO POR VENTAS'!G9)</f>
        <v>31.2</v>
      </c>
      <c r="H26" s="312">
        <f>('ELAB DE PRECIO'!$E$69*'INGRESO POR VENTAS'!H7)+('ELAB DE PRECIO'!$E$103*'INGRESO POR VENTAS'!H9)</f>
        <v>60</v>
      </c>
      <c r="I26" s="312">
        <f>('ELAB DE PRECIO'!$E$69*'INGRESO POR VENTAS'!I7)+('ELAB DE PRECIO'!$E$103*'INGRESO POR VENTAS'!I9)</f>
        <v>62.4</v>
      </c>
      <c r="J26" s="312">
        <f>('ELAB DE PRECIO'!$E$69*'INGRESO POR VENTAS'!J7)+('ELAB DE PRECIO'!$E$103*'INGRESO POR VENTAS'!J9)</f>
        <v>62.4</v>
      </c>
      <c r="K26" s="312">
        <f>('ELAB DE PRECIO'!$E$69*'INGRESO POR VENTAS'!K7)+('ELAB DE PRECIO'!$E$103*'INGRESO POR VENTAS'!K9)</f>
        <v>62.4</v>
      </c>
      <c r="L26" s="312">
        <f>('ELAB DE PRECIO'!$E$69*'INGRESO POR VENTAS'!L7)+('ELAB DE PRECIO'!$E$103*'INGRESO POR VENTAS'!L9)</f>
        <v>55.2</v>
      </c>
      <c r="M26" s="312">
        <f>('ELAB DE PRECIO'!$E$69*'INGRESO POR VENTAS'!M7)+('ELAB DE PRECIO'!$E$103*'INGRESO POR VENTAS'!M9)</f>
        <v>74.4</v>
      </c>
      <c r="N26" s="312">
        <f>('ELAB DE PRECIO'!$E$69*'INGRESO POR VENTAS'!N7)+('ELAB DE PRECIO'!$E$103*'INGRESO POR VENTAS'!N9)</f>
        <v>69.6</v>
      </c>
      <c r="O26" s="312">
        <f>('ELAB DE PRECIO'!$E$69*'INGRESO POR VENTAS'!O7)+('ELAB DE PRECIO'!$E$103*'INGRESO POR VENTAS'!O9)</f>
        <v>50.4</v>
      </c>
      <c r="P26" s="312">
        <f>('ELAB DE PRECIO'!$E$69*'INGRESO POR VENTAS'!P7)+('ELAB DE PRECIO'!$E$103*'INGRESO POR VENTAS'!P9)</f>
        <v>40.8</v>
      </c>
      <c r="Q26" s="312">
        <f>('ELAB DE PRECIO'!$E$69*'INGRESO POR VENTAS'!Q7)+('ELAB DE PRECIO'!$E$103*'INGRESO POR VENTAS'!Q9)</f>
        <v>31.2</v>
      </c>
      <c r="R26" s="312">
        <f>('ELAB DE PRECIO'!$E$69*'INGRESO POR VENTAS'!R7)+('ELAB DE PRECIO'!$E$103*'INGRESO POR VENTAS'!R9)</f>
        <v>31.2</v>
      </c>
      <c r="S26" s="312">
        <f>('ELAB DE PRECIO'!$E$69*'INGRESO POR VENTAS'!S7)+('ELAB DE PRECIO'!$E$103*'INGRESO POR VENTAS'!S9)</f>
        <v>31.2</v>
      </c>
      <c r="T26" s="312">
        <f>('ELAB DE PRECIO'!$E$69*'INGRESO POR VENTAS'!T7)+('ELAB DE PRECIO'!$E$103*'INGRESO POR VENTAS'!T9)</f>
        <v>60</v>
      </c>
      <c r="U26" s="312">
        <f>('ELAB DE PRECIO'!$E$69*'INGRESO POR VENTAS'!U7)+('ELAB DE PRECIO'!$E$103*'INGRESO POR VENTAS'!U9)</f>
        <v>62.4</v>
      </c>
      <c r="V26" s="312">
        <f>('ELAB DE PRECIO'!$E$69*'INGRESO POR VENTAS'!V7)+('ELAB DE PRECIO'!$E$103*'INGRESO POR VENTAS'!V9)</f>
        <v>62.4</v>
      </c>
      <c r="W26" s="312">
        <f>('ELAB DE PRECIO'!$E$69*'INGRESO POR VENTAS'!W7)+('ELAB DE PRECIO'!$E$103*'INGRESO POR VENTAS'!W9)</f>
        <v>62.4</v>
      </c>
      <c r="X26" s="312">
        <f>('ELAB DE PRECIO'!$E$69*'INGRESO POR VENTAS'!X7)+('ELAB DE PRECIO'!$E$103*'INGRESO POR VENTAS'!X9)</f>
        <v>55.2</v>
      </c>
      <c r="Y26" s="312">
        <f>('ELAB DE PRECIO'!$E$69*'INGRESO POR VENTAS'!Y7)+('ELAB DE PRECIO'!$E$103*'INGRESO POR VENTAS'!Y9)</f>
        <v>74.4</v>
      </c>
    </row>
    <row r="27" spans="1:25" ht="12">
      <c r="A27" s="144" t="str">
        <f>'ELAB DE PRECIO'!A72</f>
        <v>luces leds en cinta</v>
      </c>
      <c r="B27" s="312">
        <f>('ELAB DE PRECIO'!$E$72*'INGRESO POR VENTAS'!B7)</f>
        <v>600</v>
      </c>
      <c r="C27" s="312">
        <f>('ELAB DE PRECIO'!$E$72*'INGRESO POR VENTAS'!C7)</f>
        <v>600</v>
      </c>
      <c r="D27" s="312">
        <f>('ELAB DE PRECIO'!$E$72*'INGRESO POR VENTAS'!D7)</f>
        <v>600</v>
      </c>
      <c r="E27" s="312">
        <f>('ELAB DE PRECIO'!$E$72*'INGRESO POR VENTAS'!E7)</f>
        <v>600</v>
      </c>
      <c r="F27" s="312">
        <f>('ELAB DE PRECIO'!$E$72*'INGRESO POR VENTAS'!F7)</f>
        <v>600</v>
      </c>
      <c r="G27" s="312">
        <f>('ELAB DE PRECIO'!$E$72*'INGRESO POR VENTAS'!G7)</f>
        <v>600</v>
      </c>
      <c r="H27" s="312">
        <f>('ELAB DE PRECIO'!$E$72*'INGRESO POR VENTAS'!H7)</f>
        <v>600</v>
      </c>
      <c r="I27" s="312">
        <f>('ELAB DE PRECIO'!$E$72*'INGRESO POR VENTAS'!I7)</f>
        <v>1200</v>
      </c>
      <c r="J27" s="312">
        <f>('ELAB DE PRECIO'!$E$72*'INGRESO POR VENTAS'!J7)</f>
        <v>1200</v>
      </c>
      <c r="K27" s="312">
        <f>('ELAB DE PRECIO'!$E$72*'INGRESO POR VENTAS'!K7)</f>
        <v>1200</v>
      </c>
      <c r="L27" s="312">
        <f>('ELAB DE PRECIO'!$E$72*'INGRESO POR VENTAS'!L7)</f>
        <v>1800</v>
      </c>
      <c r="M27" s="312">
        <f>('ELAB DE PRECIO'!$E$72*'INGRESO POR VENTAS'!M7)</f>
        <v>1800</v>
      </c>
      <c r="N27" s="312">
        <f>('ELAB DE PRECIO'!$E$72*'INGRESO POR VENTAS'!N7)</f>
        <v>600</v>
      </c>
      <c r="O27" s="312">
        <f>('ELAB DE PRECIO'!$E$72*'INGRESO POR VENTAS'!O7)</f>
        <v>600</v>
      </c>
      <c r="P27" s="312">
        <f>('ELAB DE PRECIO'!$E$72*'INGRESO POR VENTAS'!P7)</f>
        <v>600</v>
      </c>
      <c r="Q27" s="312">
        <f>('ELAB DE PRECIO'!$E$72*'INGRESO POR VENTAS'!Q7)</f>
        <v>600</v>
      </c>
      <c r="R27" s="312">
        <f>('ELAB DE PRECIO'!$E$72*'INGRESO POR VENTAS'!R7)</f>
        <v>600</v>
      </c>
      <c r="S27" s="312">
        <f>('ELAB DE PRECIO'!$E$72*'INGRESO POR VENTAS'!S7)</f>
        <v>600</v>
      </c>
      <c r="T27" s="312">
        <f>('ELAB DE PRECIO'!$E$72*'INGRESO POR VENTAS'!T7)</f>
        <v>600</v>
      </c>
      <c r="U27" s="312">
        <f>('ELAB DE PRECIO'!$E$72*'INGRESO POR VENTAS'!U7)</f>
        <v>1200</v>
      </c>
      <c r="V27" s="312">
        <f>('ELAB DE PRECIO'!$E$72*'INGRESO POR VENTAS'!V7)</f>
        <v>1200</v>
      </c>
      <c r="W27" s="312">
        <f>('ELAB DE PRECIO'!$E$72*'INGRESO POR VENTAS'!W7)</f>
        <v>1200</v>
      </c>
      <c r="X27" s="312">
        <f>('ELAB DE PRECIO'!$E$72*'INGRESO POR VENTAS'!X7)</f>
        <v>1800</v>
      </c>
      <c r="Y27" s="312">
        <f>('ELAB DE PRECIO'!$E$72*'INGRESO POR VENTAS'!Y7)</f>
        <v>1800</v>
      </c>
    </row>
    <row r="28" spans="1:25" ht="12">
      <c r="A28" s="144" t="str">
        <f>'ELAB DE PRECIO'!A73</f>
        <v>coperas</v>
      </c>
      <c r="B28" s="312">
        <f>('ELAB DE PRECIO'!$E$73*'INGRESO POR VENTAS'!B7)</f>
        <v>74</v>
      </c>
      <c r="C28" s="312">
        <f>('ELAB DE PRECIO'!$E$73*'INGRESO POR VENTAS'!C7)</f>
        <v>74</v>
      </c>
      <c r="D28" s="312">
        <f>('ELAB DE PRECIO'!$E$73*'INGRESO POR VENTAS'!D7)</f>
        <v>74</v>
      </c>
      <c r="E28" s="312">
        <f>('ELAB DE PRECIO'!$E$73*'INGRESO POR VENTAS'!E7)</f>
        <v>74</v>
      </c>
      <c r="F28" s="312">
        <f>('ELAB DE PRECIO'!$E$73*'INGRESO POR VENTAS'!F7)</f>
        <v>74</v>
      </c>
      <c r="G28" s="312">
        <f>('ELAB DE PRECIO'!$E$73*'INGRESO POR VENTAS'!G7)</f>
        <v>74</v>
      </c>
      <c r="H28" s="312">
        <f>('ELAB DE PRECIO'!$E$73*'INGRESO POR VENTAS'!H7)</f>
        <v>74</v>
      </c>
      <c r="I28" s="312">
        <f>('ELAB DE PRECIO'!$E$73*'INGRESO POR VENTAS'!I7)</f>
        <v>148</v>
      </c>
      <c r="J28" s="312">
        <f>('ELAB DE PRECIO'!$E$73*'INGRESO POR VENTAS'!J7)</f>
        <v>148</v>
      </c>
      <c r="K28" s="312">
        <f>('ELAB DE PRECIO'!$E$73*'INGRESO POR VENTAS'!K7)</f>
        <v>148</v>
      </c>
      <c r="L28" s="312">
        <f>('ELAB DE PRECIO'!$E$73*'INGRESO POR VENTAS'!L7)</f>
        <v>222</v>
      </c>
      <c r="M28" s="312">
        <f>('ELAB DE PRECIO'!$E$73*'INGRESO POR VENTAS'!M7)</f>
        <v>222</v>
      </c>
      <c r="N28" s="312">
        <f>('ELAB DE PRECIO'!$E$73*'INGRESO POR VENTAS'!N7)</f>
        <v>74</v>
      </c>
      <c r="O28" s="312">
        <f>('ELAB DE PRECIO'!$E$73*'INGRESO POR VENTAS'!O7)</f>
        <v>74</v>
      </c>
      <c r="P28" s="312">
        <f>('ELAB DE PRECIO'!$E$73*'INGRESO POR VENTAS'!P7)</f>
        <v>74</v>
      </c>
      <c r="Q28" s="312">
        <f>('ELAB DE PRECIO'!$E$73*'INGRESO POR VENTAS'!Q7)</f>
        <v>74</v>
      </c>
      <c r="R28" s="312">
        <f>('ELAB DE PRECIO'!$E$73*'INGRESO POR VENTAS'!R7)</f>
        <v>74</v>
      </c>
      <c r="S28" s="312">
        <f>('ELAB DE PRECIO'!$E$73*'INGRESO POR VENTAS'!S7)</f>
        <v>74</v>
      </c>
      <c r="T28" s="312">
        <f>('ELAB DE PRECIO'!$E$73*'INGRESO POR VENTAS'!T7)</f>
        <v>74</v>
      </c>
      <c r="U28" s="312">
        <f>('ELAB DE PRECIO'!$E$73*'INGRESO POR VENTAS'!U7)</f>
        <v>148</v>
      </c>
      <c r="V28" s="312">
        <f>('ELAB DE PRECIO'!$E$73*'INGRESO POR VENTAS'!V7)</f>
        <v>148</v>
      </c>
      <c r="W28" s="312">
        <f>('ELAB DE PRECIO'!$E$73*'INGRESO POR VENTAS'!W7)</f>
        <v>148</v>
      </c>
      <c r="X28" s="312">
        <f>('ELAB DE PRECIO'!$E$73*'INGRESO POR VENTAS'!X7)</f>
        <v>222</v>
      </c>
      <c r="Y28" s="312">
        <f>('ELAB DE PRECIO'!$E$73*'INGRESO POR VENTAS'!Y7)</f>
        <v>222</v>
      </c>
    </row>
    <row r="29" spans="1:25" ht="12">
      <c r="A29" s="144" t="str">
        <f>'ELAB DE PRECIO'!A120</f>
        <v>MELAMINE DURAPLAC</v>
      </c>
      <c r="B29" s="312">
        <f>'ELAB DE PRECIO'!$B$120*'INGRESO POR VENTAS'!B11</f>
        <v>3200</v>
      </c>
      <c r="C29" s="312">
        <f>'ELAB DE PRECIO'!$B$120*'INGRESO POR VENTAS'!C11</f>
        <v>3200</v>
      </c>
      <c r="D29" s="312">
        <f>'ELAB DE PRECIO'!$B$120*'INGRESO POR VENTAS'!D11</f>
        <v>3200</v>
      </c>
      <c r="E29" s="312">
        <f>'ELAB DE PRECIO'!$B$120*'INGRESO POR VENTAS'!E11</f>
        <v>6400</v>
      </c>
      <c r="F29" s="312">
        <f>'ELAB DE PRECIO'!$B$120*'INGRESO POR VENTAS'!F11</f>
        <v>6400</v>
      </c>
      <c r="G29" s="312">
        <f>'ELAB DE PRECIO'!$B$120*'INGRESO POR VENTAS'!G11</f>
        <v>6400</v>
      </c>
      <c r="H29" s="312">
        <f>'ELAB DE PRECIO'!$B$120*'INGRESO POR VENTAS'!H11</f>
        <v>6400</v>
      </c>
      <c r="I29" s="312">
        <f>'ELAB DE PRECIO'!$B$120*'INGRESO POR VENTAS'!I11</f>
        <v>3200</v>
      </c>
      <c r="J29" s="312">
        <f>'ELAB DE PRECIO'!$B$120*'INGRESO POR VENTAS'!J11</f>
        <v>3200</v>
      </c>
      <c r="K29" s="312">
        <f>'ELAB DE PRECIO'!$B$120*'INGRESO POR VENTAS'!K11</f>
        <v>4800</v>
      </c>
      <c r="L29" s="312">
        <f>'ELAB DE PRECIO'!$B$120*'INGRESO POR VENTAS'!L11</f>
        <v>6400</v>
      </c>
      <c r="M29" s="312">
        <f>'ELAB DE PRECIO'!$B$120*'INGRESO POR VENTAS'!M11</f>
        <v>6400</v>
      </c>
      <c r="N29" s="312">
        <f>'ELAB DE PRECIO'!$B$120*'INGRESO POR VENTAS'!N11</f>
        <v>3200</v>
      </c>
      <c r="O29" s="312">
        <f>'ELAB DE PRECIO'!$B$120*'INGRESO POR VENTAS'!O11</f>
        <v>3200</v>
      </c>
      <c r="P29" s="312">
        <f>'ELAB DE PRECIO'!$B$120*'INGRESO POR VENTAS'!P11</f>
        <v>3200</v>
      </c>
      <c r="Q29" s="312">
        <f>'ELAB DE PRECIO'!$B$120*'INGRESO POR VENTAS'!Q11</f>
        <v>6400</v>
      </c>
      <c r="R29" s="312">
        <f>'ELAB DE PRECIO'!$B$120*'INGRESO POR VENTAS'!R11</f>
        <v>6400</v>
      </c>
      <c r="S29" s="312">
        <f>'ELAB DE PRECIO'!$B$120*'INGRESO POR VENTAS'!S11</f>
        <v>6400</v>
      </c>
      <c r="T29" s="312">
        <f>'ELAB DE PRECIO'!$B$120*'INGRESO POR VENTAS'!T11</f>
        <v>6400</v>
      </c>
      <c r="U29" s="312">
        <f>'ELAB DE PRECIO'!$B$120*'INGRESO POR VENTAS'!U11</f>
        <v>3200</v>
      </c>
      <c r="V29" s="312">
        <f>'ELAB DE PRECIO'!$B$120*'INGRESO POR VENTAS'!V11</f>
        <v>3200</v>
      </c>
      <c r="W29" s="312">
        <f>'ELAB DE PRECIO'!$B$120*'INGRESO POR VENTAS'!W11</f>
        <v>4800</v>
      </c>
      <c r="X29" s="312">
        <f>'ELAB DE PRECIO'!$B$120*'INGRESO POR VENTAS'!X11</f>
        <v>6400</v>
      </c>
      <c r="Y29" s="312">
        <f>'ELAB DE PRECIO'!$B$120*'INGRESO POR VENTAS'!Y11</f>
        <v>6400</v>
      </c>
    </row>
    <row r="30" spans="1:25" ht="12">
      <c r="A30" s="144" t="str">
        <f>'ELAB DE PRECIO'!A121</f>
        <v>MELAMINE MASSISA</v>
      </c>
      <c r="B30" s="312">
        <f>'ELAB DE PRECIO'!$B$121*'INGRESO POR VENTAS'!B12</f>
        <v>3100</v>
      </c>
      <c r="C30" s="312">
        <f>'ELAB DE PRECIO'!$B$121*'INGRESO POR VENTAS'!C12</f>
        <v>3100</v>
      </c>
      <c r="D30" s="312">
        <f>'ELAB DE PRECIO'!$B$121*'INGRESO POR VENTAS'!D12</f>
        <v>3100</v>
      </c>
      <c r="E30" s="312">
        <f>'ELAB DE PRECIO'!$B$121*'INGRESO POR VENTAS'!E12</f>
        <v>3100</v>
      </c>
      <c r="F30" s="312">
        <f>'ELAB DE PRECIO'!$B$121*'INGRESO POR VENTAS'!F12</f>
        <v>4650</v>
      </c>
      <c r="G30" s="312">
        <f>'ELAB DE PRECIO'!$B$121*'INGRESO POR VENTAS'!G12</f>
        <v>4650</v>
      </c>
      <c r="H30" s="312">
        <f>'ELAB DE PRECIO'!$B$121*'INGRESO POR VENTAS'!H12</f>
        <v>4650</v>
      </c>
      <c r="I30" s="312">
        <f>'ELAB DE PRECIO'!$B$121*'INGRESO POR VENTAS'!I12</f>
        <v>3100</v>
      </c>
      <c r="J30" s="312">
        <f>'ELAB DE PRECIO'!$B$121*'INGRESO POR VENTAS'!J12</f>
        <v>3100</v>
      </c>
      <c r="K30" s="312">
        <f>'ELAB DE PRECIO'!$B$121*'INGRESO POR VENTAS'!K12</f>
        <v>3100</v>
      </c>
      <c r="L30" s="312">
        <f>'ELAB DE PRECIO'!$B$121*'INGRESO POR VENTAS'!L12</f>
        <v>4650</v>
      </c>
      <c r="M30" s="312">
        <f>'ELAB DE PRECIO'!$B$121*'INGRESO POR VENTAS'!M12</f>
        <v>4650</v>
      </c>
      <c r="N30" s="312">
        <f>'ELAB DE PRECIO'!$B$121*'INGRESO POR VENTAS'!N12</f>
        <v>3100</v>
      </c>
      <c r="O30" s="312">
        <f>'ELAB DE PRECIO'!$B$121*'INGRESO POR VENTAS'!O12</f>
        <v>3100</v>
      </c>
      <c r="P30" s="312">
        <f>'ELAB DE PRECIO'!$B$121*'INGRESO POR VENTAS'!P12</f>
        <v>3100</v>
      </c>
      <c r="Q30" s="312">
        <f>'ELAB DE PRECIO'!$B$121*'INGRESO POR VENTAS'!Q12</f>
        <v>3100</v>
      </c>
      <c r="R30" s="312">
        <f>'ELAB DE PRECIO'!$B$121*'INGRESO POR VENTAS'!R12</f>
        <v>4650</v>
      </c>
      <c r="S30" s="312">
        <f>'ELAB DE PRECIO'!$B$121*'INGRESO POR VENTAS'!S12</f>
        <v>4650</v>
      </c>
      <c r="T30" s="312">
        <f>'ELAB DE PRECIO'!$B$121*'INGRESO POR VENTAS'!T12</f>
        <v>4650</v>
      </c>
      <c r="U30" s="312">
        <f>'ELAB DE PRECIO'!$B$121*'INGRESO POR VENTAS'!U12</f>
        <v>3100</v>
      </c>
      <c r="V30" s="312">
        <f>'ELAB DE PRECIO'!$B$121*'INGRESO POR VENTAS'!V12</f>
        <v>3100</v>
      </c>
      <c r="W30" s="312">
        <f>'ELAB DE PRECIO'!$B$121*'INGRESO POR VENTAS'!W12</f>
        <v>3100</v>
      </c>
      <c r="X30" s="312">
        <f>'ELAB DE PRECIO'!$B$121*'INGRESO POR VENTAS'!X12</f>
        <v>4650</v>
      </c>
      <c r="Y30" s="312">
        <f>'ELAB DE PRECIO'!$B$121*'INGRESO POR VENTAS'!Y12</f>
        <v>4650</v>
      </c>
    </row>
    <row r="31" spans="1:25" ht="12">
      <c r="A31" s="144" t="str">
        <f>'ELAB DE PRECIO'!A122</f>
        <v>MELAMINE DURATEX</v>
      </c>
      <c r="B31" s="312">
        <f>'ELAB DE PRECIO'!$B$122*'INGRESO POR VENTAS'!B13</f>
        <v>4200</v>
      </c>
      <c r="C31" s="312">
        <f>'ELAB DE PRECIO'!$B$122*'INGRESO POR VENTAS'!C13</f>
        <v>4200</v>
      </c>
      <c r="D31" s="312">
        <f>'ELAB DE PRECIO'!$B$122*'INGRESO POR VENTAS'!D13</f>
        <v>4200</v>
      </c>
      <c r="E31" s="312">
        <f>'ELAB DE PRECIO'!$B$122*'INGRESO POR VENTAS'!E13</f>
        <v>4200</v>
      </c>
      <c r="F31" s="312">
        <f>'ELAB DE PRECIO'!$B$122*'INGRESO POR VENTAS'!F13</f>
        <v>8400</v>
      </c>
      <c r="G31" s="312">
        <f>'ELAB DE PRECIO'!$B$122*'INGRESO POR VENTAS'!G13</f>
        <v>8400</v>
      </c>
      <c r="H31" s="312">
        <f>'ELAB DE PRECIO'!$B$122*'INGRESO POR VENTAS'!H13</f>
        <v>8400</v>
      </c>
      <c r="I31" s="312">
        <f>'ELAB DE PRECIO'!$B$122*'INGRESO POR VENTAS'!I13</f>
        <v>4200</v>
      </c>
      <c r="J31" s="312">
        <f>'ELAB DE PRECIO'!$B$122*'INGRESO POR VENTAS'!J13</f>
        <v>4200</v>
      </c>
      <c r="K31" s="312">
        <f>'ELAB DE PRECIO'!$B$122*'INGRESO POR VENTAS'!K13</f>
        <v>8400</v>
      </c>
      <c r="L31" s="312">
        <f>'ELAB DE PRECIO'!$B$122*'INGRESO POR VENTAS'!L13</f>
        <v>8400</v>
      </c>
      <c r="M31" s="312">
        <f>'ELAB DE PRECIO'!$B$122*'INGRESO POR VENTAS'!M13</f>
        <v>8400</v>
      </c>
      <c r="N31" s="312">
        <f>'ELAB DE PRECIO'!$B$122*'INGRESO POR VENTAS'!N13</f>
        <v>4200</v>
      </c>
      <c r="O31" s="312">
        <f>'ELAB DE PRECIO'!$B$122*'INGRESO POR VENTAS'!O13</f>
        <v>4200</v>
      </c>
      <c r="P31" s="312">
        <f>'ELAB DE PRECIO'!$B$122*'INGRESO POR VENTAS'!P13</f>
        <v>4200</v>
      </c>
      <c r="Q31" s="312">
        <f>'ELAB DE PRECIO'!$B$122*'INGRESO POR VENTAS'!Q13</f>
        <v>4200</v>
      </c>
      <c r="R31" s="312">
        <f>'ELAB DE PRECIO'!$B$122*'INGRESO POR VENTAS'!R13</f>
        <v>8400</v>
      </c>
      <c r="S31" s="312">
        <f>'ELAB DE PRECIO'!$B$122*'INGRESO POR VENTAS'!S13</f>
        <v>8400</v>
      </c>
      <c r="T31" s="312">
        <f>'ELAB DE PRECIO'!$B$122*'INGRESO POR VENTAS'!T13</f>
        <v>8400</v>
      </c>
      <c r="U31" s="312">
        <f>'ELAB DE PRECIO'!$B$122*'INGRESO POR VENTAS'!U13</f>
        <v>4200</v>
      </c>
      <c r="V31" s="312">
        <f>'ELAB DE PRECIO'!$B$122*'INGRESO POR VENTAS'!V13</f>
        <v>4200</v>
      </c>
      <c r="W31" s="312">
        <f>'ELAB DE PRECIO'!$B$122*'INGRESO POR VENTAS'!W13</f>
        <v>8400</v>
      </c>
      <c r="X31" s="312">
        <f>'ELAB DE PRECIO'!$B$122*'INGRESO POR VENTAS'!X13</f>
        <v>8400</v>
      </c>
      <c r="Y31" s="312">
        <f>'ELAB DE PRECIO'!$B$122*'INGRESO POR VENTAS'!Y13</f>
        <v>8400</v>
      </c>
    </row>
    <row r="32" spans="1:25" ht="12">
      <c r="A32" s="144" t="str">
        <f>'ELAB DE PRECIO'!A123</f>
        <v>ACCESORIOS</v>
      </c>
      <c r="B32" s="312">
        <f>'ELAB DE PRECIO'!$B$123*'INGRESO POR VENTAS'!B14</f>
        <v>2500</v>
      </c>
      <c r="C32" s="312">
        <f>'ELAB DE PRECIO'!$B$123*'INGRESO POR VENTAS'!C14</f>
        <v>2500</v>
      </c>
      <c r="D32" s="312">
        <f>'ELAB DE PRECIO'!$B$123*'INGRESO POR VENTAS'!D14</f>
        <v>2500</v>
      </c>
      <c r="E32" s="312">
        <f>'ELAB DE PRECIO'!$B$123*'INGRESO POR VENTAS'!E14</f>
        <v>2500</v>
      </c>
      <c r="F32" s="312">
        <f>'ELAB DE PRECIO'!$B$123*'INGRESO POR VENTAS'!F14</f>
        <v>2500</v>
      </c>
      <c r="G32" s="312">
        <f>'ELAB DE PRECIO'!$B$123*'INGRESO POR VENTAS'!G14</f>
        <v>2500</v>
      </c>
      <c r="H32" s="312">
        <f>'ELAB DE PRECIO'!$B$123*'INGRESO POR VENTAS'!H14</f>
        <v>2500</v>
      </c>
      <c r="I32" s="312">
        <f>'ELAB DE PRECIO'!$B$123*'INGRESO POR VENTAS'!I14</f>
        <v>2500</v>
      </c>
      <c r="J32" s="312">
        <f>'ELAB DE PRECIO'!$B$123*'INGRESO POR VENTAS'!J14</f>
        <v>2500</v>
      </c>
      <c r="K32" s="312">
        <f>'ELAB DE PRECIO'!$B$123*'INGRESO POR VENTAS'!K14</f>
        <v>2500</v>
      </c>
      <c r="L32" s="312">
        <f>'ELAB DE PRECIO'!$B$123*'INGRESO POR VENTAS'!L14</f>
        <v>2500</v>
      </c>
      <c r="M32" s="312">
        <f>'ELAB DE PRECIO'!$B$123*'INGRESO POR VENTAS'!M14</f>
        <v>2500</v>
      </c>
      <c r="N32" s="312">
        <f>'ELAB DE PRECIO'!$B$123*'INGRESO POR VENTAS'!N14</f>
        <v>2500</v>
      </c>
      <c r="O32" s="312">
        <f>'ELAB DE PRECIO'!$B$123*'INGRESO POR VENTAS'!O14</f>
        <v>2500</v>
      </c>
      <c r="P32" s="312">
        <f>'ELAB DE PRECIO'!$B$123*'INGRESO POR VENTAS'!P14</f>
        <v>2500</v>
      </c>
      <c r="Q32" s="312">
        <f>'ELAB DE PRECIO'!$B$123*'INGRESO POR VENTAS'!Q14</f>
        <v>2500</v>
      </c>
      <c r="R32" s="312">
        <f>'ELAB DE PRECIO'!$B$123*'INGRESO POR VENTAS'!R14</f>
        <v>2500</v>
      </c>
      <c r="S32" s="312">
        <f>'ELAB DE PRECIO'!$B$123*'INGRESO POR VENTAS'!S14</f>
        <v>2500</v>
      </c>
      <c r="T32" s="312">
        <f>'ELAB DE PRECIO'!$B$123*'INGRESO POR VENTAS'!T14</f>
        <v>2500</v>
      </c>
      <c r="U32" s="312">
        <f>'ELAB DE PRECIO'!$B$123*'INGRESO POR VENTAS'!U14</f>
        <v>2500</v>
      </c>
      <c r="V32" s="312">
        <f>'ELAB DE PRECIO'!$B$123*'INGRESO POR VENTAS'!V14</f>
        <v>2500</v>
      </c>
      <c r="W32" s="312">
        <f>'ELAB DE PRECIO'!$B$123*'INGRESO POR VENTAS'!W14</f>
        <v>2500</v>
      </c>
      <c r="X32" s="312">
        <f>'ELAB DE PRECIO'!$B$123*'INGRESO POR VENTAS'!X14</f>
        <v>2500</v>
      </c>
      <c r="Y32" s="312">
        <f>'ELAB DE PRECIO'!$B$123*'INGRESO POR VENTAS'!Y14</f>
        <v>2500</v>
      </c>
    </row>
    <row r="33" spans="1:25" ht="12">
      <c r="A33" s="333" t="s">
        <v>163</v>
      </c>
      <c r="B33" s="334">
        <f>+B34+B35+B36</f>
        <v>3324.5</v>
      </c>
      <c r="C33" s="334">
        <f aca="true" t="shared" si="3" ref="C33:Y33">+C34+C35+C36</f>
        <v>3324.5</v>
      </c>
      <c r="D33" s="334">
        <f t="shared" si="3"/>
        <v>3324.5</v>
      </c>
      <c r="E33" s="334">
        <f t="shared" si="3"/>
        <v>3324.5</v>
      </c>
      <c r="F33" s="334">
        <f t="shared" si="3"/>
        <v>3324.5</v>
      </c>
      <c r="G33" s="334">
        <f t="shared" si="3"/>
        <v>3324.5</v>
      </c>
      <c r="H33" s="334">
        <f t="shared" si="3"/>
        <v>4986.75</v>
      </c>
      <c r="I33" s="334">
        <f t="shared" si="3"/>
        <v>3324.5</v>
      </c>
      <c r="J33" s="334">
        <f t="shared" si="3"/>
        <v>3324.5</v>
      </c>
      <c r="K33" s="334">
        <f t="shared" si="3"/>
        <v>3324.5</v>
      </c>
      <c r="L33" s="334">
        <f t="shared" si="3"/>
        <v>3324.5</v>
      </c>
      <c r="M33" s="334">
        <f t="shared" si="3"/>
        <v>4986.75</v>
      </c>
      <c r="N33" s="334">
        <f t="shared" si="3"/>
        <v>3324.5</v>
      </c>
      <c r="O33" s="334">
        <f t="shared" si="3"/>
        <v>3324.5</v>
      </c>
      <c r="P33" s="334">
        <f t="shared" si="3"/>
        <v>3324.5</v>
      </c>
      <c r="Q33" s="334">
        <f t="shared" si="3"/>
        <v>3324.5</v>
      </c>
      <c r="R33" s="334">
        <f t="shared" si="3"/>
        <v>3324.5</v>
      </c>
      <c r="S33" s="334">
        <f t="shared" si="3"/>
        <v>3324.5</v>
      </c>
      <c r="T33" s="334">
        <f t="shared" si="3"/>
        <v>4986.75</v>
      </c>
      <c r="U33" s="334">
        <f t="shared" si="3"/>
        <v>3324.5</v>
      </c>
      <c r="V33" s="334">
        <f t="shared" si="3"/>
        <v>3324.5</v>
      </c>
      <c r="W33" s="334">
        <f t="shared" si="3"/>
        <v>3324.5</v>
      </c>
      <c r="X33" s="334">
        <f t="shared" si="3"/>
        <v>3324.5</v>
      </c>
      <c r="Y33" s="334">
        <f t="shared" si="3"/>
        <v>4986.75</v>
      </c>
    </row>
    <row r="34" spans="1:25" ht="12">
      <c r="A34" s="144" t="s">
        <v>164</v>
      </c>
      <c r="B34" s="312">
        <f>'PLANILLA DE EMPLEADOS'!K8</f>
        <v>3324.5</v>
      </c>
      <c r="C34" s="312">
        <f>B34</f>
        <v>3324.5</v>
      </c>
      <c r="D34" s="312">
        <f aca="true" t="shared" si="4" ref="D34:Y34">C34</f>
        <v>3324.5</v>
      </c>
      <c r="E34" s="312">
        <f t="shared" si="4"/>
        <v>3324.5</v>
      </c>
      <c r="F34" s="312">
        <f t="shared" si="4"/>
        <v>3324.5</v>
      </c>
      <c r="G34" s="312">
        <f t="shared" si="4"/>
        <v>3324.5</v>
      </c>
      <c r="H34" s="312">
        <f t="shared" si="4"/>
        <v>3324.5</v>
      </c>
      <c r="I34" s="312">
        <f t="shared" si="4"/>
        <v>3324.5</v>
      </c>
      <c r="J34" s="312">
        <f t="shared" si="4"/>
        <v>3324.5</v>
      </c>
      <c r="K34" s="312">
        <f t="shared" si="4"/>
        <v>3324.5</v>
      </c>
      <c r="L34" s="312">
        <f t="shared" si="4"/>
        <v>3324.5</v>
      </c>
      <c r="M34" s="312">
        <f t="shared" si="4"/>
        <v>3324.5</v>
      </c>
      <c r="N34" s="312">
        <f t="shared" si="4"/>
        <v>3324.5</v>
      </c>
      <c r="O34" s="312">
        <f t="shared" si="4"/>
        <v>3324.5</v>
      </c>
      <c r="P34" s="312">
        <f t="shared" si="4"/>
        <v>3324.5</v>
      </c>
      <c r="Q34" s="312">
        <f t="shared" si="4"/>
        <v>3324.5</v>
      </c>
      <c r="R34" s="312">
        <f t="shared" si="4"/>
        <v>3324.5</v>
      </c>
      <c r="S34" s="312">
        <f t="shared" si="4"/>
        <v>3324.5</v>
      </c>
      <c r="T34" s="312">
        <f t="shared" si="4"/>
        <v>3324.5</v>
      </c>
      <c r="U34" s="312">
        <f t="shared" si="4"/>
        <v>3324.5</v>
      </c>
      <c r="V34" s="312">
        <f t="shared" si="4"/>
        <v>3324.5</v>
      </c>
      <c r="W34" s="312">
        <f t="shared" si="4"/>
        <v>3324.5</v>
      </c>
      <c r="X34" s="312">
        <f t="shared" si="4"/>
        <v>3324.5</v>
      </c>
      <c r="Y34" s="312">
        <f t="shared" si="4"/>
        <v>3324.5</v>
      </c>
    </row>
    <row r="35" spans="1:25" ht="12">
      <c r="A35" s="144" t="s">
        <v>504</v>
      </c>
      <c r="B35" s="312"/>
      <c r="C35" s="312"/>
      <c r="D35" s="312"/>
      <c r="E35" s="312"/>
      <c r="F35" s="312"/>
      <c r="G35" s="312"/>
      <c r="H35" s="312">
        <f>+B34*0.5</f>
        <v>1662.25</v>
      </c>
      <c r="I35" s="312"/>
      <c r="J35" s="312"/>
      <c r="K35" s="312"/>
      <c r="L35" s="312"/>
      <c r="M35" s="312">
        <f>+G34*0.5</f>
        <v>1662.25</v>
      </c>
      <c r="N35" s="312"/>
      <c r="O35" s="312"/>
      <c r="P35" s="312"/>
      <c r="Q35" s="312"/>
      <c r="R35" s="312"/>
      <c r="S35" s="312"/>
      <c r="T35" s="312">
        <f>+N34*0.5</f>
        <v>1662.25</v>
      </c>
      <c r="U35" s="312"/>
      <c r="V35" s="312"/>
      <c r="W35" s="312"/>
      <c r="X35" s="312"/>
      <c r="Y35" s="312">
        <f>+S34*0.5</f>
        <v>1662.25</v>
      </c>
    </row>
    <row r="36" spans="1:25" ht="12">
      <c r="A36" s="145"/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</row>
    <row r="37" spans="1:25" ht="12">
      <c r="A37" s="332" t="s">
        <v>165</v>
      </c>
      <c r="B37" s="334">
        <f aca="true" t="shared" si="5" ref="B37:Y37">SUM(B38:B44)</f>
        <v>1695</v>
      </c>
      <c r="C37" s="334">
        <f t="shared" si="5"/>
        <v>1695</v>
      </c>
      <c r="D37" s="334">
        <f t="shared" si="5"/>
        <v>1695</v>
      </c>
      <c r="E37" s="334">
        <f t="shared" si="5"/>
        <v>1695</v>
      </c>
      <c r="F37" s="334">
        <f t="shared" si="5"/>
        <v>1695</v>
      </c>
      <c r="G37" s="334">
        <f t="shared" si="5"/>
        <v>1695</v>
      </c>
      <c r="H37" s="334">
        <f t="shared" si="5"/>
        <v>1695</v>
      </c>
      <c r="I37" s="334">
        <f t="shared" si="5"/>
        <v>1695</v>
      </c>
      <c r="J37" s="334">
        <f t="shared" si="5"/>
        <v>1695</v>
      </c>
      <c r="K37" s="334">
        <f t="shared" si="5"/>
        <v>1695</v>
      </c>
      <c r="L37" s="334">
        <f t="shared" si="5"/>
        <v>1695</v>
      </c>
      <c r="M37" s="334">
        <f t="shared" si="5"/>
        <v>1695</v>
      </c>
      <c r="N37" s="334">
        <f t="shared" si="5"/>
        <v>1695</v>
      </c>
      <c r="O37" s="334">
        <f t="shared" si="5"/>
        <v>1695</v>
      </c>
      <c r="P37" s="334">
        <f t="shared" si="5"/>
        <v>1695</v>
      </c>
      <c r="Q37" s="334">
        <f t="shared" si="5"/>
        <v>1695</v>
      </c>
      <c r="R37" s="334">
        <f t="shared" si="5"/>
        <v>1695</v>
      </c>
      <c r="S37" s="334">
        <f t="shared" si="5"/>
        <v>1695</v>
      </c>
      <c r="T37" s="334">
        <f t="shared" si="5"/>
        <v>1695</v>
      </c>
      <c r="U37" s="334">
        <f t="shared" si="5"/>
        <v>1695</v>
      </c>
      <c r="V37" s="334">
        <f t="shared" si="5"/>
        <v>1695</v>
      </c>
      <c r="W37" s="334">
        <f t="shared" si="5"/>
        <v>1695</v>
      </c>
      <c r="X37" s="334">
        <f t="shared" si="5"/>
        <v>1695</v>
      </c>
      <c r="Y37" s="334">
        <f t="shared" si="5"/>
        <v>1695</v>
      </c>
    </row>
    <row r="38" spans="1:25" ht="12">
      <c r="A38" s="144" t="str">
        <f>'GASTOS INDIRECTOS'!A6</f>
        <v>Alquiler</v>
      </c>
      <c r="B38" s="314">
        <f>'GASTOS INDIRECTOS'!B6</f>
        <v>1200</v>
      </c>
      <c r="C38" s="312">
        <f aca="true" t="shared" si="6" ref="C38:C43">B38</f>
        <v>1200</v>
      </c>
      <c r="D38" s="312">
        <f aca="true" t="shared" si="7" ref="D38:Y38">C38</f>
        <v>1200</v>
      </c>
      <c r="E38" s="312">
        <f t="shared" si="7"/>
        <v>1200</v>
      </c>
      <c r="F38" s="312">
        <f t="shared" si="7"/>
        <v>1200</v>
      </c>
      <c r="G38" s="312">
        <f t="shared" si="7"/>
        <v>1200</v>
      </c>
      <c r="H38" s="312">
        <f t="shared" si="7"/>
        <v>1200</v>
      </c>
      <c r="I38" s="312">
        <f t="shared" si="7"/>
        <v>1200</v>
      </c>
      <c r="J38" s="312">
        <f t="shared" si="7"/>
        <v>1200</v>
      </c>
      <c r="K38" s="312">
        <f t="shared" si="7"/>
        <v>1200</v>
      </c>
      <c r="L38" s="312">
        <f t="shared" si="7"/>
        <v>1200</v>
      </c>
      <c r="M38" s="312">
        <f t="shared" si="7"/>
        <v>1200</v>
      </c>
      <c r="N38" s="312">
        <f t="shared" si="7"/>
        <v>1200</v>
      </c>
      <c r="O38" s="312">
        <f t="shared" si="7"/>
        <v>1200</v>
      </c>
      <c r="P38" s="312">
        <f t="shared" si="7"/>
        <v>1200</v>
      </c>
      <c r="Q38" s="312">
        <f t="shared" si="7"/>
        <v>1200</v>
      </c>
      <c r="R38" s="312">
        <f t="shared" si="7"/>
        <v>1200</v>
      </c>
      <c r="S38" s="312">
        <f t="shared" si="7"/>
        <v>1200</v>
      </c>
      <c r="T38" s="312">
        <f t="shared" si="7"/>
        <v>1200</v>
      </c>
      <c r="U38" s="312">
        <f t="shared" si="7"/>
        <v>1200</v>
      </c>
      <c r="V38" s="312">
        <f t="shared" si="7"/>
        <v>1200</v>
      </c>
      <c r="W38" s="312">
        <f t="shared" si="7"/>
        <v>1200</v>
      </c>
      <c r="X38" s="312">
        <f t="shared" si="7"/>
        <v>1200</v>
      </c>
      <c r="Y38" s="312">
        <f t="shared" si="7"/>
        <v>1200</v>
      </c>
    </row>
    <row r="39" spans="1:25" ht="12">
      <c r="A39" s="145" t="str">
        <f>'GASTOS INDIRECTOS'!A7</f>
        <v>Telefono fijo, Internet</v>
      </c>
      <c r="B39" s="312">
        <f>'GASTOS INDIRECTOS'!B7</f>
        <v>70</v>
      </c>
      <c r="C39" s="312">
        <f t="shared" si="6"/>
        <v>70</v>
      </c>
      <c r="D39" s="312">
        <f aca="true" t="shared" si="8" ref="D39:Y42">C39</f>
        <v>70</v>
      </c>
      <c r="E39" s="312">
        <f t="shared" si="8"/>
        <v>70</v>
      </c>
      <c r="F39" s="312">
        <f t="shared" si="8"/>
        <v>70</v>
      </c>
      <c r="G39" s="312">
        <f t="shared" si="8"/>
        <v>70</v>
      </c>
      <c r="H39" s="312">
        <f t="shared" si="8"/>
        <v>70</v>
      </c>
      <c r="I39" s="312">
        <f t="shared" si="8"/>
        <v>70</v>
      </c>
      <c r="J39" s="312">
        <f t="shared" si="8"/>
        <v>70</v>
      </c>
      <c r="K39" s="312">
        <f t="shared" si="8"/>
        <v>70</v>
      </c>
      <c r="L39" s="312">
        <f t="shared" si="8"/>
        <v>70</v>
      </c>
      <c r="M39" s="312">
        <f t="shared" si="8"/>
        <v>70</v>
      </c>
      <c r="N39" s="312">
        <f t="shared" si="8"/>
        <v>70</v>
      </c>
      <c r="O39" s="312">
        <f t="shared" si="8"/>
        <v>70</v>
      </c>
      <c r="P39" s="312">
        <f t="shared" si="8"/>
        <v>70</v>
      </c>
      <c r="Q39" s="312">
        <f t="shared" si="8"/>
        <v>70</v>
      </c>
      <c r="R39" s="312">
        <f t="shared" si="8"/>
        <v>70</v>
      </c>
      <c r="S39" s="312">
        <f t="shared" si="8"/>
        <v>70</v>
      </c>
      <c r="T39" s="312">
        <f t="shared" si="8"/>
        <v>70</v>
      </c>
      <c r="U39" s="312">
        <f t="shared" si="8"/>
        <v>70</v>
      </c>
      <c r="V39" s="312">
        <f t="shared" si="8"/>
        <v>70</v>
      </c>
      <c r="W39" s="312">
        <f t="shared" si="8"/>
        <v>70</v>
      </c>
      <c r="X39" s="312">
        <f t="shared" si="8"/>
        <v>70</v>
      </c>
      <c r="Y39" s="312">
        <f t="shared" si="8"/>
        <v>70</v>
      </c>
    </row>
    <row r="40" spans="1:25" ht="12">
      <c r="A40" s="145" t="str">
        <f>'GASTOS INDIRECTOS'!A8</f>
        <v>Agua</v>
      </c>
      <c r="B40" s="314">
        <f>'GASTOS INDIRECTOS'!B8</f>
        <v>25</v>
      </c>
      <c r="C40" s="314">
        <f t="shared" si="6"/>
        <v>25</v>
      </c>
      <c r="D40" s="314">
        <f t="shared" si="8"/>
        <v>25</v>
      </c>
      <c r="E40" s="314">
        <f t="shared" si="8"/>
        <v>25</v>
      </c>
      <c r="F40" s="314">
        <f t="shared" si="8"/>
        <v>25</v>
      </c>
      <c r="G40" s="314">
        <f t="shared" si="8"/>
        <v>25</v>
      </c>
      <c r="H40" s="314">
        <f t="shared" si="8"/>
        <v>25</v>
      </c>
      <c r="I40" s="314">
        <f t="shared" si="8"/>
        <v>25</v>
      </c>
      <c r="J40" s="314">
        <f t="shared" si="8"/>
        <v>25</v>
      </c>
      <c r="K40" s="314">
        <f t="shared" si="8"/>
        <v>25</v>
      </c>
      <c r="L40" s="314">
        <f t="shared" si="8"/>
        <v>25</v>
      </c>
      <c r="M40" s="314">
        <f t="shared" si="8"/>
        <v>25</v>
      </c>
      <c r="N40" s="314">
        <f t="shared" si="8"/>
        <v>25</v>
      </c>
      <c r="O40" s="314">
        <f t="shared" si="8"/>
        <v>25</v>
      </c>
      <c r="P40" s="314">
        <f t="shared" si="8"/>
        <v>25</v>
      </c>
      <c r="Q40" s="314">
        <f t="shared" si="8"/>
        <v>25</v>
      </c>
      <c r="R40" s="314">
        <f t="shared" si="8"/>
        <v>25</v>
      </c>
      <c r="S40" s="314">
        <f t="shared" si="8"/>
        <v>25</v>
      </c>
      <c r="T40" s="314">
        <f t="shared" si="8"/>
        <v>25</v>
      </c>
      <c r="U40" s="314">
        <f t="shared" si="8"/>
        <v>25</v>
      </c>
      <c r="V40" s="314">
        <f t="shared" si="8"/>
        <v>25</v>
      </c>
      <c r="W40" s="314">
        <f t="shared" si="8"/>
        <v>25</v>
      </c>
      <c r="X40" s="314">
        <f t="shared" si="8"/>
        <v>25</v>
      </c>
      <c r="Y40" s="314">
        <f t="shared" si="8"/>
        <v>25</v>
      </c>
    </row>
    <row r="41" spans="1:25" ht="12">
      <c r="A41" s="145" t="str">
        <f>'GASTOS INDIRECTOS'!A9</f>
        <v>Energia Electrica</v>
      </c>
      <c r="B41" s="314">
        <f>'GASTOS INDIRECTOS'!B9</f>
        <v>200</v>
      </c>
      <c r="C41" s="314">
        <f t="shared" si="6"/>
        <v>200</v>
      </c>
      <c r="D41" s="314">
        <f t="shared" si="8"/>
        <v>200</v>
      </c>
      <c r="E41" s="314">
        <f t="shared" si="8"/>
        <v>200</v>
      </c>
      <c r="F41" s="314">
        <f t="shared" si="8"/>
        <v>200</v>
      </c>
      <c r="G41" s="314">
        <f t="shared" si="8"/>
        <v>200</v>
      </c>
      <c r="H41" s="314">
        <f t="shared" si="8"/>
        <v>200</v>
      </c>
      <c r="I41" s="314">
        <f t="shared" si="8"/>
        <v>200</v>
      </c>
      <c r="J41" s="314">
        <f t="shared" si="8"/>
        <v>200</v>
      </c>
      <c r="K41" s="314">
        <f t="shared" si="8"/>
        <v>200</v>
      </c>
      <c r="L41" s="314">
        <f t="shared" si="8"/>
        <v>200</v>
      </c>
      <c r="M41" s="314">
        <f t="shared" si="8"/>
        <v>200</v>
      </c>
      <c r="N41" s="314">
        <f t="shared" si="8"/>
        <v>200</v>
      </c>
      <c r="O41" s="314">
        <f t="shared" si="8"/>
        <v>200</v>
      </c>
      <c r="P41" s="314">
        <f t="shared" si="8"/>
        <v>200</v>
      </c>
      <c r="Q41" s="314">
        <f t="shared" si="8"/>
        <v>200</v>
      </c>
      <c r="R41" s="314">
        <f t="shared" si="8"/>
        <v>200</v>
      </c>
      <c r="S41" s="314">
        <f t="shared" si="8"/>
        <v>200</v>
      </c>
      <c r="T41" s="314">
        <f t="shared" si="8"/>
        <v>200</v>
      </c>
      <c r="U41" s="314">
        <f t="shared" si="8"/>
        <v>200</v>
      </c>
      <c r="V41" s="314">
        <f t="shared" si="8"/>
        <v>200</v>
      </c>
      <c r="W41" s="314">
        <f t="shared" si="8"/>
        <v>200</v>
      </c>
      <c r="X41" s="314">
        <f t="shared" si="8"/>
        <v>200</v>
      </c>
      <c r="Y41" s="314">
        <f>X41</f>
        <v>200</v>
      </c>
    </row>
    <row r="42" spans="1:25" ht="12">
      <c r="A42" s="145" t="str">
        <f>'GASTOS INDIRECTOS'!A10</f>
        <v>Útiles de escritorio</v>
      </c>
      <c r="B42" s="314">
        <f>'GASTOS INDIRECTOS'!B10</f>
        <v>50</v>
      </c>
      <c r="C42" s="314">
        <f t="shared" si="6"/>
        <v>50</v>
      </c>
      <c r="D42" s="314">
        <f t="shared" si="8"/>
        <v>50</v>
      </c>
      <c r="E42" s="314">
        <f t="shared" si="8"/>
        <v>50</v>
      </c>
      <c r="F42" s="314">
        <f t="shared" si="8"/>
        <v>50</v>
      </c>
      <c r="G42" s="314">
        <f t="shared" si="8"/>
        <v>50</v>
      </c>
      <c r="H42" s="314">
        <f t="shared" si="8"/>
        <v>50</v>
      </c>
      <c r="I42" s="314">
        <f t="shared" si="8"/>
        <v>50</v>
      </c>
      <c r="J42" s="314">
        <f t="shared" si="8"/>
        <v>50</v>
      </c>
      <c r="K42" s="314">
        <f t="shared" si="8"/>
        <v>50</v>
      </c>
      <c r="L42" s="314">
        <f t="shared" si="8"/>
        <v>50</v>
      </c>
      <c r="M42" s="314">
        <f t="shared" si="8"/>
        <v>50</v>
      </c>
      <c r="N42" s="314">
        <f t="shared" si="8"/>
        <v>50</v>
      </c>
      <c r="O42" s="314">
        <f t="shared" si="8"/>
        <v>50</v>
      </c>
      <c r="P42" s="314">
        <f t="shared" si="8"/>
        <v>50</v>
      </c>
      <c r="Q42" s="314">
        <f t="shared" si="8"/>
        <v>50</v>
      </c>
      <c r="R42" s="314">
        <f t="shared" si="8"/>
        <v>50</v>
      </c>
      <c r="S42" s="314">
        <f t="shared" si="8"/>
        <v>50</v>
      </c>
      <c r="T42" s="314">
        <f t="shared" si="8"/>
        <v>50</v>
      </c>
      <c r="U42" s="314">
        <f t="shared" si="8"/>
        <v>50</v>
      </c>
      <c r="V42" s="314">
        <f t="shared" si="8"/>
        <v>50</v>
      </c>
      <c r="W42" s="314">
        <f t="shared" si="8"/>
        <v>50</v>
      </c>
      <c r="X42" s="314">
        <f t="shared" si="8"/>
        <v>50</v>
      </c>
      <c r="Y42" s="314">
        <f>X42</f>
        <v>50</v>
      </c>
    </row>
    <row r="43" spans="1:25" ht="12">
      <c r="A43" s="145" t="str">
        <f>'GASTOS INDIRECTOS'!A12</f>
        <v>Artículos de limpieza</v>
      </c>
      <c r="B43" s="314">
        <f>'GASTOS INDIRECTOS'!B12</f>
        <v>150</v>
      </c>
      <c r="C43" s="314">
        <f t="shared" si="6"/>
        <v>150</v>
      </c>
      <c r="D43" s="314">
        <f aca="true" t="shared" si="9" ref="D43:Y43">C43</f>
        <v>150</v>
      </c>
      <c r="E43" s="314">
        <f t="shared" si="9"/>
        <v>150</v>
      </c>
      <c r="F43" s="314">
        <f t="shared" si="9"/>
        <v>150</v>
      </c>
      <c r="G43" s="314">
        <f t="shared" si="9"/>
        <v>150</v>
      </c>
      <c r="H43" s="314">
        <f t="shared" si="9"/>
        <v>150</v>
      </c>
      <c r="I43" s="314">
        <f t="shared" si="9"/>
        <v>150</v>
      </c>
      <c r="J43" s="314">
        <f t="shared" si="9"/>
        <v>150</v>
      </c>
      <c r="K43" s="314">
        <f t="shared" si="9"/>
        <v>150</v>
      </c>
      <c r="L43" s="314">
        <f t="shared" si="9"/>
        <v>150</v>
      </c>
      <c r="M43" s="314">
        <f t="shared" si="9"/>
        <v>150</v>
      </c>
      <c r="N43" s="314">
        <f t="shared" si="9"/>
        <v>150</v>
      </c>
      <c r="O43" s="314">
        <f t="shared" si="9"/>
        <v>150</v>
      </c>
      <c r="P43" s="314">
        <f t="shared" si="9"/>
        <v>150</v>
      </c>
      <c r="Q43" s="314">
        <f t="shared" si="9"/>
        <v>150</v>
      </c>
      <c r="R43" s="314">
        <f t="shared" si="9"/>
        <v>150</v>
      </c>
      <c r="S43" s="314">
        <f t="shared" si="9"/>
        <v>150</v>
      </c>
      <c r="T43" s="314">
        <f t="shared" si="9"/>
        <v>150</v>
      </c>
      <c r="U43" s="314">
        <f t="shared" si="9"/>
        <v>150</v>
      </c>
      <c r="V43" s="314">
        <f t="shared" si="9"/>
        <v>150</v>
      </c>
      <c r="W43" s="314">
        <f t="shared" si="9"/>
        <v>150</v>
      </c>
      <c r="X43" s="314">
        <f t="shared" si="9"/>
        <v>150</v>
      </c>
      <c r="Y43" s="314">
        <f t="shared" si="9"/>
        <v>150</v>
      </c>
    </row>
    <row r="44" spans="1:25" ht="12">
      <c r="A44" s="145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</row>
    <row r="45" spans="1:25" ht="12">
      <c r="A45" s="142" t="s">
        <v>166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</row>
    <row r="46" spans="1:25" ht="12">
      <c r="A46" s="146" t="s">
        <v>167</v>
      </c>
      <c r="B46" s="311">
        <f>SUM(B47:B50)</f>
        <v>370</v>
      </c>
      <c r="C46" s="311">
        <f aca="true" t="shared" si="10" ref="C46:Y46">SUM(C47:C50)</f>
        <v>370</v>
      </c>
      <c r="D46" s="311">
        <f t="shared" si="10"/>
        <v>370</v>
      </c>
      <c r="E46" s="311">
        <f t="shared" si="10"/>
        <v>370</v>
      </c>
      <c r="F46" s="311">
        <f t="shared" si="10"/>
        <v>370</v>
      </c>
      <c r="G46" s="311">
        <f t="shared" si="10"/>
        <v>370</v>
      </c>
      <c r="H46" s="311">
        <f t="shared" si="10"/>
        <v>370</v>
      </c>
      <c r="I46" s="311">
        <f t="shared" si="10"/>
        <v>370</v>
      </c>
      <c r="J46" s="311">
        <f t="shared" si="10"/>
        <v>370</v>
      </c>
      <c r="K46" s="311">
        <f t="shared" si="10"/>
        <v>370</v>
      </c>
      <c r="L46" s="311">
        <f t="shared" si="10"/>
        <v>370</v>
      </c>
      <c r="M46" s="311">
        <f t="shared" si="10"/>
        <v>370</v>
      </c>
      <c r="N46" s="311">
        <f t="shared" si="10"/>
        <v>370</v>
      </c>
      <c r="O46" s="311">
        <f t="shared" si="10"/>
        <v>370</v>
      </c>
      <c r="P46" s="311">
        <f t="shared" si="10"/>
        <v>370</v>
      </c>
      <c r="Q46" s="311">
        <f t="shared" si="10"/>
        <v>370</v>
      </c>
      <c r="R46" s="311">
        <f t="shared" si="10"/>
        <v>370</v>
      </c>
      <c r="S46" s="311">
        <f t="shared" si="10"/>
        <v>370</v>
      </c>
      <c r="T46" s="311">
        <f t="shared" si="10"/>
        <v>370</v>
      </c>
      <c r="U46" s="311">
        <f t="shared" si="10"/>
        <v>370</v>
      </c>
      <c r="V46" s="311">
        <f t="shared" si="10"/>
        <v>370</v>
      </c>
      <c r="W46" s="311">
        <f t="shared" si="10"/>
        <v>370</v>
      </c>
      <c r="X46" s="311">
        <f t="shared" si="10"/>
        <v>370</v>
      </c>
      <c r="Y46" s="311">
        <f t="shared" si="10"/>
        <v>370</v>
      </c>
    </row>
    <row r="47" spans="1:25" ht="12">
      <c r="A47" s="277" t="str">
        <f>+'GASTOS INDIRECTOS'!A14</f>
        <v>Comprobantes de pago</v>
      </c>
      <c r="B47" s="312">
        <f>+'GASTOS INDIRECTOS'!E14</f>
        <v>280</v>
      </c>
      <c r="C47" s="314">
        <f>B47</f>
        <v>280</v>
      </c>
      <c r="D47" s="314">
        <f aca="true" t="shared" si="11" ref="D47:Y49">C47</f>
        <v>280</v>
      </c>
      <c r="E47" s="314">
        <f t="shared" si="11"/>
        <v>280</v>
      </c>
      <c r="F47" s="314">
        <f t="shared" si="11"/>
        <v>280</v>
      </c>
      <c r="G47" s="314">
        <f t="shared" si="11"/>
        <v>280</v>
      </c>
      <c r="H47" s="314">
        <f t="shared" si="11"/>
        <v>280</v>
      </c>
      <c r="I47" s="314">
        <f t="shared" si="11"/>
        <v>280</v>
      </c>
      <c r="J47" s="314">
        <f t="shared" si="11"/>
        <v>280</v>
      </c>
      <c r="K47" s="314">
        <f t="shared" si="11"/>
        <v>280</v>
      </c>
      <c r="L47" s="314">
        <f t="shared" si="11"/>
        <v>280</v>
      </c>
      <c r="M47" s="314">
        <f t="shared" si="11"/>
        <v>280</v>
      </c>
      <c r="N47" s="314">
        <f t="shared" si="11"/>
        <v>280</v>
      </c>
      <c r="O47" s="314">
        <f t="shared" si="11"/>
        <v>280</v>
      </c>
      <c r="P47" s="314">
        <f t="shared" si="11"/>
        <v>280</v>
      </c>
      <c r="Q47" s="314">
        <f t="shared" si="11"/>
        <v>280</v>
      </c>
      <c r="R47" s="314">
        <f t="shared" si="11"/>
        <v>280</v>
      </c>
      <c r="S47" s="314">
        <f t="shared" si="11"/>
        <v>280</v>
      </c>
      <c r="T47" s="314">
        <f t="shared" si="11"/>
        <v>280</v>
      </c>
      <c r="U47" s="314">
        <f t="shared" si="11"/>
        <v>280</v>
      </c>
      <c r="V47" s="314">
        <f t="shared" si="11"/>
        <v>280</v>
      </c>
      <c r="W47" s="314">
        <f t="shared" si="11"/>
        <v>280</v>
      </c>
      <c r="X47" s="314">
        <f t="shared" si="11"/>
        <v>280</v>
      </c>
      <c r="Y47" s="314">
        <f t="shared" si="11"/>
        <v>280</v>
      </c>
    </row>
    <row r="48" spans="1:25" ht="12">
      <c r="A48" s="277" t="str">
        <f>+'GASTOS INDIRECTOS'!A15</f>
        <v>Tripticos </v>
      </c>
      <c r="B48" s="312">
        <f>+'GASTOS INDIRECTOS'!E15</f>
        <v>60</v>
      </c>
      <c r="C48" s="314">
        <f aca="true" t="shared" si="12" ref="C48:R49">B48</f>
        <v>60</v>
      </c>
      <c r="D48" s="314">
        <f t="shared" si="12"/>
        <v>60</v>
      </c>
      <c r="E48" s="314">
        <f t="shared" si="12"/>
        <v>60</v>
      </c>
      <c r="F48" s="314">
        <f t="shared" si="12"/>
        <v>60</v>
      </c>
      <c r="G48" s="314">
        <f t="shared" si="12"/>
        <v>60</v>
      </c>
      <c r="H48" s="314">
        <f t="shared" si="12"/>
        <v>60</v>
      </c>
      <c r="I48" s="314">
        <f t="shared" si="12"/>
        <v>60</v>
      </c>
      <c r="J48" s="314">
        <f t="shared" si="12"/>
        <v>60</v>
      </c>
      <c r="K48" s="314">
        <f t="shared" si="12"/>
        <v>60</v>
      </c>
      <c r="L48" s="314">
        <f t="shared" si="12"/>
        <v>60</v>
      </c>
      <c r="M48" s="314">
        <f t="shared" si="12"/>
        <v>60</v>
      </c>
      <c r="N48" s="314">
        <f t="shared" si="12"/>
        <v>60</v>
      </c>
      <c r="O48" s="314">
        <f t="shared" si="12"/>
        <v>60</v>
      </c>
      <c r="P48" s="314">
        <f t="shared" si="12"/>
        <v>60</v>
      </c>
      <c r="Q48" s="314">
        <f t="shared" si="12"/>
        <v>60</v>
      </c>
      <c r="R48" s="314">
        <f t="shared" si="12"/>
        <v>60</v>
      </c>
      <c r="S48" s="314">
        <f t="shared" si="11"/>
        <v>60</v>
      </c>
      <c r="T48" s="314">
        <f t="shared" si="11"/>
        <v>60</v>
      </c>
      <c r="U48" s="314">
        <f t="shared" si="11"/>
        <v>60</v>
      </c>
      <c r="V48" s="314">
        <f t="shared" si="11"/>
        <v>60</v>
      </c>
      <c r="W48" s="314">
        <f t="shared" si="11"/>
        <v>60</v>
      </c>
      <c r="X48" s="314">
        <f t="shared" si="11"/>
        <v>60</v>
      </c>
      <c r="Y48" s="314">
        <f t="shared" si="11"/>
        <v>60</v>
      </c>
    </row>
    <row r="49" spans="1:25" ht="12">
      <c r="A49" s="277" t="str">
        <f>+'GASTOS INDIRECTOS'!A16</f>
        <v>Tarjetas </v>
      </c>
      <c r="B49" s="312">
        <f>+'GASTOS INDIRECTOS'!E16</f>
        <v>30</v>
      </c>
      <c r="C49" s="314">
        <f t="shared" si="12"/>
        <v>30</v>
      </c>
      <c r="D49" s="314">
        <f t="shared" si="11"/>
        <v>30</v>
      </c>
      <c r="E49" s="314">
        <f t="shared" si="11"/>
        <v>30</v>
      </c>
      <c r="F49" s="314">
        <f t="shared" si="11"/>
        <v>30</v>
      </c>
      <c r="G49" s="314">
        <f t="shared" si="11"/>
        <v>30</v>
      </c>
      <c r="H49" s="314">
        <f t="shared" si="11"/>
        <v>30</v>
      </c>
      <c r="I49" s="314">
        <f t="shared" si="11"/>
        <v>30</v>
      </c>
      <c r="J49" s="314">
        <f t="shared" si="11"/>
        <v>30</v>
      </c>
      <c r="K49" s="314">
        <f t="shared" si="11"/>
        <v>30</v>
      </c>
      <c r="L49" s="314">
        <f t="shared" si="11"/>
        <v>30</v>
      </c>
      <c r="M49" s="314">
        <f t="shared" si="11"/>
        <v>30</v>
      </c>
      <c r="N49" s="314">
        <f t="shared" si="11"/>
        <v>30</v>
      </c>
      <c r="O49" s="314">
        <f t="shared" si="11"/>
        <v>30</v>
      </c>
      <c r="P49" s="314">
        <f t="shared" si="11"/>
        <v>30</v>
      </c>
      <c r="Q49" s="314">
        <f t="shared" si="11"/>
        <v>30</v>
      </c>
      <c r="R49" s="314">
        <f t="shared" si="11"/>
        <v>30</v>
      </c>
      <c r="S49" s="314">
        <f t="shared" si="11"/>
        <v>30</v>
      </c>
      <c r="T49" s="314">
        <f t="shared" si="11"/>
        <v>30</v>
      </c>
      <c r="U49" s="314">
        <f t="shared" si="11"/>
        <v>30</v>
      </c>
      <c r="V49" s="314">
        <f t="shared" si="11"/>
        <v>30</v>
      </c>
      <c r="W49" s="314">
        <f t="shared" si="11"/>
        <v>30</v>
      </c>
      <c r="X49" s="314">
        <f t="shared" si="11"/>
        <v>30</v>
      </c>
      <c r="Y49" s="314">
        <f t="shared" si="11"/>
        <v>30</v>
      </c>
    </row>
    <row r="50" spans="1:25" ht="12">
      <c r="A50" s="145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</row>
    <row r="51" spans="1:25" ht="12">
      <c r="A51" s="146" t="s">
        <v>168</v>
      </c>
      <c r="B51" s="311">
        <f>+B52+B53+B54</f>
        <v>2644.4548611111113</v>
      </c>
      <c r="C51" s="311">
        <f aca="true" t="shared" si="13" ref="C51:Y51">+C52+C53+C54</f>
        <v>2644.4548611111113</v>
      </c>
      <c r="D51" s="311">
        <f t="shared" si="13"/>
        <v>2644.4548611111113</v>
      </c>
      <c r="E51" s="311">
        <f t="shared" si="13"/>
        <v>2644.4548611111113</v>
      </c>
      <c r="F51" s="311">
        <f t="shared" si="13"/>
        <v>2644.4548611111113</v>
      </c>
      <c r="G51" s="311">
        <f t="shared" si="13"/>
        <v>2644.4548611111113</v>
      </c>
      <c r="H51" s="311">
        <f t="shared" si="13"/>
        <v>3925.2048611111113</v>
      </c>
      <c r="I51" s="311">
        <f t="shared" si="13"/>
        <v>2644.4548611111113</v>
      </c>
      <c r="J51" s="311">
        <f t="shared" si="13"/>
        <v>2644.4548611111113</v>
      </c>
      <c r="K51" s="311">
        <f t="shared" si="13"/>
        <v>2644.4548611111113</v>
      </c>
      <c r="L51" s="311">
        <f t="shared" si="13"/>
        <v>2644.4548611111113</v>
      </c>
      <c r="M51" s="311">
        <f t="shared" si="13"/>
        <v>3925.2048611111113</v>
      </c>
      <c r="N51" s="311">
        <f t="shared" si="13"/>
        <v>2644.4548611111113</v>
      </c>
      <c r="O51" s="311">
        <f t="shared" si="13"/>
        <v>2644.4548611111113</v>
      </c>
      <c r="P51" s="311">
        <f t="shared" si="13"/>
        <v>2644.4548611111113</v>
      </c>
      <c r="Q51" s="311">
        <f t="shared" si="13"/>
        <v>2644.4548611111113</v>
      </c>
      <c r="R51" s="311">
        <f t="shared" si="13"/>
        <v>2644.4548611111113</v>
      </c>
      <c r="S51" s="311">
        <f t="shared" si="13"/>
        <v>2644.4548611111113</v>
      </c>
      <c r="T51" s="311">
        <f t="shared" si="13"/>
        <v>3925.2048611111113</v>
      </c>
      <c r="U51" s="311">
        <f t="shared" si="13"/>
        <v>2644.4548611111113</v>
      </c>
      <c r="V51" s="311">
        <f t="shared" si="13"/>
        <v>2644.4548611111113</v>
      </c>
      <c r="W51" s="311">
        <f t="shared" si="13"/>
        <v>2644.4548611111113</v>
      </c>
      <c r="X51" s="311">
        <f t="shared" si="13"/>
        <v>2644.4548611111113</v>
      </c>
      <c r="Y51" s="311">
        <f t="shared" si="13"/>
        <v>3925.2048611111113</v>
      </c>
    </row>
    <row r="52" spans="1:25" ht="12">
      <c r="A52" s="144" t="s">
        <v>169</v>
      </c>
      <c r="B52" s="312">
        <f>'PLANILLA DE EMPLEADOS'!K16</f>
        <v>2561.5</v>
      </c>
      <c r="C52" s="312">
        <f>B52</f>
        <v>2561.5</v>
      </c>
      <c r="D52" s="312">
        <f aca="true" t="shared" si="14" ref="D52:Y52">C52</f>
        <v>2561.5</v>
      </c>
      <c r="E52" s="312">
        <f t="shared" si="14"/>
        <v>2561.5</v>
      </c>
      <c r="F52" s="312">
        <f t="shared" si="14"/>
        <v>2561.5</v>
      </c>
      <c r="G52" s="312">
        <f t="shared" si="14"/>
        <v>2561.5</v>
      </c>
      <c r="H52" s="312">
        <f t="shared" si="14"/>
        <v>2561.5</v>
      </c>
      <c r="I52" s="312">
        <f t="shared" si="14"/>
        <v>2561.5</v>
      </c>
      <c r="J52" s="312">
        <f t="shared" si="14"/>
        <v>2561.5</v>
      </c>
      <c r="K52" s="312">
        <f t="shared" si="14"/>
        <v>2561.5</v>
      </c>
      <c r="L52" s="312">
        <f t="shared" si="14"/>
        <v>2561.5</v>
      </c>
      <c r="M52" s="312">
        <f t="shared" si="14"/>
        <v>2561.5</v>
      </c>
      <c r="N52" s="312">
        <f t="shared" si="14"/>
        <v>2561.5</v>
      </c>
      <c r="O52" s="312">
        <f t="shared" si="14"/>
        <v>2561.5</v>
      </c>
      <c r="P52" s="312">
        <f t="shared" si="14"/>
        <v>2561.5</v>
      </c>
      <c r="Q52" s="312">
        <f t="shared" si="14"/>
        <v>2561.5</v>
      </c>
      <c r="R52" s="312">
        <f t="shared" si="14"/>
        <v>2561.5</v>
      </c>
      <c r="S52" s="312">
        <f t="shared" si="14"/>
        <v>2561.5</v>
      </c>
      <c r="T52" s="312">
        <f t="shared" si="14"/>
        <v>2561.5</v>
      </c>
      <c r="U52" s="312">
        <f t="shared" si="14"/>
        <v>2561.5</v>
      </c>
      <c r="V52" s="312">
        <f t="shared" si="14"/>
        <v>2561.5</v>
      </c>
      <c r="W52" s="312">
        <f t="shared" si="14"/>
        <v>2561.5</v>
      </c>
      <c r="X52" s="312">
        <f t="shared" si="14"/>
        <v>2561.5</v>
      </c>
      <c r="Y52" s="312">
        <f t="shared" si="14"/>
        <v>2561.5</v>
      </c>
    </row>
    <row r="53" spans="1:25" ht="12">
      <c r="A53" s="144" t="s">
        <v>504</v>
      </c>
      <c r="B53" s="312"/>
      <c r="C53" s="312"/>
      <c r="D53" s="312"/>
      <c r="E53" s="312"/>
      <c r="F53" s="312"/>
      <c r="G53" s="312"/>
      <c r="H53" s="312">
        <f>+B52*0.5</f>
        <v>1280.75</v>
      </c>
      <c r="I53" s="312"/>
      <c r="J53" s="312"/>
      <c r="K53" s="312"/>
      <c r="L53" s="312"/>
      <c r="M53" s="312">
        <f>+G52*0.5</f>
        <v>1280.75</v>
      </c>
      <c r="N53" s="312"/>
      <c r="O53" s="312"/>
      <c r="P53" s="312"/>
      <c r="Q53" s="312"/>
      <c r="R53" s="312"/>
      <c r="S53" s="312"/>
      <c r="T53" s="312">
        <f>+N52*0.5</f>
        <v>1280.75</v>
      </c>
      <c r="U53" s="312"/>
      <c r="V53" s="312"/>
      <c r="W53" s="312"/>
      <c r="X53" s="312"/>
      <c r="Y53" s="312">
        <f>+S52*0.5</f>
        <v>1280.75</v>
      </c>
    </row>
    <row r="54" spans="1:25" ht="12">
      <c r="A54" s="144" t="s">
        <v>170</v>
      </c>
      <c r="B54" s="314">
        <f>DEPRECIACION!H31</f>
        <v>82.95486111111111</v>
      </c>
      <c r="C54" s="314">
        <f>B54</f>
        <v>82.95486111111111</v>
      </c>
      <c r="D54" s="314">
        <f aca="true" t="shared" si="15" ref="D54:Y54">C54</f>
        <v>82.95486111111111</v>
      </c>
      <c r="E54" s="314">
        <f t="shared" si="15"/>
        <v>82.95486111111111</v>
      </c>
      <c r="F54" s="314">
        <f t="shared" si="15"/>
        <v>82.95486111111111</v>
      </c>
      <c r="G54" s="314">
        <f t="shared" si="15"/>
        <v>82.95486111111111</v>
      </c>
      <c r="H54" s="314">
        <f t="shared" si="15"/>
        <v>82.95486111111111</v>
      </c>
      <c r="I54" s="314">
        <f t="shared" si="15"/>
        <v>82.95486111111111</v>
      </c>
      <c r="J54" s="314">
        <f t="shared" si="15"/>
        <v>82.95486111111111</v>
      </c>
      <c r="K54" s="314">
        <f t="shared" si="15"/>
        <v>82.95486111111111</v>
      </c>
      <c r="L54" s="314">
        <f t="shared" si="15"/>
        <v>82.95486111111111</v>
      </c>
      <c r="M54" s="314">
        <f t="shared" si="15"/>
        <v>82.95486111111111</v>
      </c>
      <c r="N54" s="314">
        <f t="shared" si="15"/>
        <v>82.95486111111111</v>
      </c>
      <c r="O54" s="314">
        <f t="shared" si="15"/>
        <v>82.95486111111111</v>
      </c>
      <c r="P54" s="314">
        <f t="shared" si="15"/>
        <v>82.95486111111111</v>
      </c>
      <c r="Q54" s="314">
        <f t="shared" si="15"/>
        <v>82.95486111111111</v>
      </c>
      <c r="R54" s="314">
        <f t="shared" si="15"/>
        <v>82.95486111111111</v>
      </c>
      <c r="S54" s="314">
        <f t="shared" si="15"/>
        <v>82.95486111111111</v>
      </c>
      <c r="T54" s="314">
        <f t="shared" si="15"/>
        <v>82.95486111111111</v>
      </c>
      <c r="U54" s="314">
        <f t="shared" si="15"/>
        <v>82.95486111111111</v>
      </c>
      <c r="V54" s="314">
        <f t="shared" si="15"/>
        <v>82.95486111111111</v>
      </c>
      <c r="W54" s="314">
        <f t="shared" si="15"/>
        <v>82.95486111111111</v>
      </c>
      <c r="X54" s="314">
        <f t="shared" si="15"/>
        <v>82.95486111111111</v>
      </c>
      <c r="Y54" s="314">
        <f t="shared" si="15"/>
        <v>82.95486111111111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Carpio E</dc:creator>
  <cp:keywords/>
  <dc:description/>
  <cp:lastModifiedBy>Econ. Milward Chávez Tejada</cp:lastModifiedBy>
  <dcterms:created xsi:type="dcterms:W3CDTF">2014-04-17T16:27:25Z</dcterms:created>
  <dcterms:modified xsi:type="dcterms:W3CDTF">2016-09-04T06:33:42Z</dcterms:modified>
  <cp:category/>
  <cp:version/>
  <cp:contentType/>
  <cp:contentStatus/>
</cp:coreProperties>
</file>