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7905" yWindow="1110" windowWidth="13920" windowHeight="9570" tabRatio="895" firstSheet="11" activeTab="16"/>
  </bookViews>
  <sheets>
    <sheet name="INDICE" sheetId="21" r:id="rId1"/>
    <sheet name="INVERSION TOTAL" sheetId="1" r:id="rId2"/>
    <sheet name="FINANCIAMIENTO" sheetId="2" r:id="rId3"/>
    <sheet name="AMORTIZACION DE CREDITO" sheetId="9" r:id="rId4"/>
    <sheet name="INGRESO POR VENTAS" sheetId="3" r:id="rId5"/>
    <sheet name="PLANILLA DE EMPLEADOS" sheetId="4" r:id="rId6"/>
    <sheet name="COSTO DEL PRODUCTO" sheetId="22" r:id="rId7"/>
    <sheet name="GASTOS INDIRECTOS" sheetId="6" r:id="rId8"/>
    <sheet name="DEPRECIACION" sheetId="7" r:id="rId9"/>
    <sheet name="PRESUPUESTO DE GASTOS" sheetId="5" r:id="rId10"/>
    <sheet name="ESTADO DE GANACIAS Y PERDIDAS" sheetId="8" r:id="rId11"/>
    <sheet name="BALANCE GENERAL" sheetId="17" r:id="rId12"/>
    <sheet name="FLUJO DE CAJA ECON FINANCI" sheetId="10" r:id="rId13"/>
    <sheet name="PRInversión" sheetId="25" r:id="rId14"/>
    <sheet name="COSTO BENEFICIO" sheetId="11" r:id="rId15"/>
    <sheet name="PUNTO DE EQUILIBRIO" sheetId="12" r:id="rId16"/>
    <sheet name="PU TRAM. ADUAN." sheetId="23" r:id="rId17"/>
    <sheet name="Hoja1" sheetId="26" r:id="rId18"/>
  </sheets>
  <calcPr calcId="145621"/>
</workbook>
</file>

<file path=xl/calcChain.xml><?xml version="1.0" encoding="utf-8"?>
<calcChain xmlns="http://schemas.openxmlformats.org/spreadsheetml/2006/main">
  <c r="C33" i="26" l="1"/>
  <c r="N5" i="5"/>
  <c r="N22" i="5"/>
  <c r="H4" i="22"/>
  <c r="E8" i="1" l="1"/>
  <c r="E7" i="1" s="1"/>
  <c r="E9" i="1"/>
  <c r="E10" i="1"/>
  <c r="E11" i="1"/>
  <c r="E12" i="1"/>
  <c r="E13" i="1"/>
  <c r="E14" i="1"/>
  <c r="E15" i="1"/>
  <c r="E16" i="1"/>
  <c r="E18" i="1"/>
  <c r="E19" i="1"/>
  <c r="E17" i="1" s="1"/>
  <c r="E32" i="1" s="1"/>
  <c r="E20" i="1"/>
  <c r="E21" i="1"/>
  <c r="E22" i="1"/>
  <c r="E24" i="1"/>
  <c r="E25" i="1"/>
  <c r="E23" i="1" s="1"/>
  <c r="E26" i="1"/>
  <c r="E27" i="1"/>
  <c r="E28" i="1"/>
  <c r="E29" i="1"/>
  <c r="E30" i="1"/>
  <c r="E31" i="1"/>
  <c r="E35" i="1"/>
  <c r="E36" i="1"/>
  <c r="E37" i="1"/>
  <c r="E38" i="1"/>
  <c r="E39" i="1"/>
  <c r="E41" i="1"/>
  <c r="E42" i="1"/>
  <c r="E44" i="1"/>
  <c r="E49" i="1"/>
  <c r="E50" i="1"/>
  <c r="E51" i="1"/>
  <c r="E52" i="1"/>
  <c r="E53" i="1"/>
  <c r="B54" i="1"/>
  <c r="C5" i="7"/>
  <c r="E48" i="1" l="1"/>
  <c r="E55" i="1" s="1"/>
  <c r="E45" i="1"/>
  <c r="D43" i="26"/>
  <c r="E43" i="26" s="1"/>
  <c r="D42" i="26"/>
  <c r="E42" i="26" s="1"/>
  <c r="D41" i="26"/>
  <c r="E41" i="26" s="1"/>
  <c r="C43" i="26"/>
  <c r="C42" i="26"/>
  <c r="C41" i="26"/>
  <c r="D35" i="26"/>
  <c r="E35" i="26" s="1"/>
  <c r="D34" i="26"/>
  <c r="E34" i="26" s="1"/>
  <c r="D40" i="26"/>
  <c r="D39" i="26"/>
  <c r="E39" i="26" s="1"/>
  <c r="D37" i="26"/>
  <c r="C37" i="26"/>
  <c r="D38" i="26"/>
  <c r="C38" i="26"/>
  <c r="D36" i="26"/>
  <c r="E36" i="26" s="1"/>
  <c r="D33" i="26"/>
  <c r="E33" i="26" s="1"/>
  <c r="C40" i="26"/>
  <c r="C39" i="26"/>
  <c r="C36" i="26"/>
  <c r="C35" i="26"/>
  <c r="C34" i="26"/>
  <c r="D28" i="26"/>
  <c r="E40" i="26" l="1"/>
  <c r="E38" i="26"/>
  <c r="E37" i="26"/>
  <c r="E56" i="1"/>
  <c r="F24" i="25"/>
  <c r="E11" i="7"/>
  <c r="H11" i="7" s="1"/>
  <c r="E12" i="7"/>
  <c r="H12" i="7" s="1"/>
  <c r="E13" i="7"/>
  <c r="H13" i="7" s="1"/>
  <c r="B20" i="3"/>
  <c r="B21" i="3" s="1"/>
  <c r="F24" i="11" l="1"/>
  <c r="F25" i="11" s="1"/>
  <c r="F26" i="11" s="1"/>
  <c r="D4" i="11" l="1"/>
  <c r="C65" i="1" l="1"/>
  <c r="C66" i="1" l="1"/>
  <c r="H8" i="7" l="1"/>
  <c r="E14" i="7"/>
  <c r="H14" i="7" s="1"/>
  <c r="G4" i="22" l="1"/>
  <c r="I4" i="22" s="1"/>
  <c r="D6" i="22" l="1"/>
  <c r="C6" i="22"/>
  <c r="A4" i="3" l="1"/>
  <c r="A9" i="3" s="1"/>
  <c r="C9" i="3" l="1"/>
  <c r="C10" i="3" s="1"/>
  <c r="E9" i="3"/>
  <c r="E10" i="3" s="1"/>
  <c r="D9" i="3"/>
  <c r="D10" i="3" s="1"/>
  <c r="F9" i="3" l="1"/>
  <c r="F10" i="3" s="1"/>
  <c r="F17" i="25"/>
  <c r="F32" i="25" l="1"/>
  <c r="F22" i="25"/>
  <c r="G9" i="3"/>
  <c r="G10" i="3" s="1"/>
  <c r="F25" i="25"/>
  <c r="F29" i="25"/>
  <c r="F33" i="25"/>
  <c r="F26" i="25"/>
  <c r="F27" i="25"/>
  <c r="F30" i="25"/>
  <c r="F28" i="25"/>
  <c r="F23" i="25"/>
  <c r="F31" i="25"/>
  <c r="H9" i="3" l="1"/>
  <c r="H10" i="3" s="1"/>
  <c r="I9" i="3" l="1"/>
  <c r="I10" i="3" s="1"/>
  <c r="J9" i="3" l="1"/>
  <c r="J10" i="3" s="1"/>
  <c r="K9" i="3" l="1"/>
  <c r="K10" i="3" s="1"/>
  <c r="M24" i="23" l="1"/>
  <c r="P37" i="23"/>
  <c r="L9" i="3"/>
  <c r="L10" i="3" s="1"/>
  <c r="F4" i="22"/>
  <c r="F6" i="22" s="1"/>
  <c r="R37" i="23" l="1"/>
  <c r="R39" i="23" s="1"/>
  <c r="P39" i="23"/>
  <c r="N9" i="3"/>
  <c r="N10" i="3" s="1"/>
  <c r="M9" i="3"/>
  <c r="M10" i="3" s="1"/>
  <c r="C9" i="9"/>
  <c r="C8" i="9"/>
  <c r="C7" i="9"/>
  <c r="B18" i="3" l="1"/>
  <c r="B19" i="3" s="1"/>
  <c r="B4" i="22"/>
  <c r="L57" i="1"/>
  <c r="L5" i="4" l="1"/>
  <c r="N5" i="4" s="1"/>
  <c r="N6" i="4" s="1"/>
  <c r="C6" i="4" l="1"/>
  <c r="L6" i="4"/>
  <c r="D16" i="4"/>
  <c r="J5" i="4"/>
  <c r="J6" i="4" s="1"/>
  <c r="G5" i="4"/>
  <c r="G6" i="4" s="1"/>
  <c r="F5" i="4"/>
  <c r="F6" i="4" s="1"/>
  <c r="E5" i="4"/>
  <c r="E6" i="4" s="1"/>
  <c r="C8" i="4"/>
  <c r="C9" i="4" s="1"/>
  <c r="D6" i="11"/>
  <c r="D5" i="11"/>
  <c r="E4" i="11"/>
  <c r="B13" i="5"/>
  <c r="E17" i="7"/>
  <c r="H17" i="7" s="1"/>
  <c r="E16" i="7"/>
  <c r="H16" i="7" s="1"/>
  <c r="H15" i="7" s="1"/>
  <c r="E10" i="7"/>
  <c r="H10" i="7" s="1"/>
  <c r="H9" i="7" s="1"/>
  <c r="D6" i="7"/>
  <c r="D7" i="7"/>
  <c r="A6" i="7"/>
  <c r="A7" i="7"/>
  <c r="A5" i="7"/>
  <c r="C6" i="7"/>
  <c r="E10" i="6"/>
  <c r="E6" i="22"/>
  <c r="E9" i="23"/>
  <c r="A5" i="12"/>
  <c r="A20" i="5"/>
  <c r="C20" i="5"/>
  <c r="D20" i="5" s="1"/>
  <c r="C19" i="5"/>
  <c r="A19" i="5"/>
  <c r="C14" i="5"/>
  <c r="D14" i="5" s="1"/>
  <c r="E14" i="5" s="1"/>
  <c r="B17" i="9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D7" i="11"/>
  <c r="D8" i="11"/>
  <c r="D9" i="11"/>
  <c r="D10" i="11"/>
  <c r="D11" i="11"/>
  <c r="D12" i="11"/>
  <c r="D13" i="11"/>
  <c r="D14" i="11"/>
  <c r="D15" i="11"/>
  <c r="D16" i="11"/>
  <c r="E13" i="6"/>
  <c r="D6" i="4"/>
  <c r="D5" i="7"/>
  <c r="B7" i="12"/>
  <c r="C6" i="12" l="1"/>
  <c r="C5" i="12"/>
  <c r="B18" i="5"/>
  <c r="B11" i="8" s="1"/>
  <c r="K17" i="7"/>
  <c r="K26" i="23"/>
  <c r="K27" i="23" s="1"/>
  <c r="I7" i="23"/>
  <c r="J8" i="23" s="1"/>
  <c r="E7" i="7"/>
  <c r="H7" i="7" s="1"/>
  <c r="K5" i="4"/>
  <c r="K6" i="4" s="1"/>
  <c r="B10" i="5" s="1"/>
  <c r="B9" i="5" s="1"/>
  <c r="B6" i="8" s="1"/>
  <c r="G16" i="23"/>
  <c r="E6" i="7"/>
  <c r="H6" i="7" s="1"/>
  <c r="H6" i="22"/>
  <c r="I6" i="22"/>
  <c r="E5" i="7"/>
  <c r="M6" i="7" s="1"/>
  <c r="M7" i="7" s="1"/>
  <c r="G6" i="22"/>
  <c r="D16" i="23"/>
  <c r="F5" i="12"/>
  <c r="H5" i="4"/>
  <c r="H6" i="4" s="1"/>
  <c r="E12" i="6"/>
  <c r="E5" i="6"/>
  <c r="C15" i="5"/>
  <c r="D15" i="5" s="1"/>
  <c r="E15" i="5" s="1"/>
  <c r="F15" i="5" s="1"/>
  <c r="G15" i="5" s="1"/>
  <c r="H15" i="5" s="1"/>
  <c r="I15" i="5" s="1"/>
  <c r="J15" i="5" s="1"/>
  <c r="K15" i="5" s="1"/>
  <c r="L15" i="5" s="1"/>
  <c r="M15" i="5" s="1"/>
  <c r="B8" i="8"/>
  <c r="C18" i="5"/>
  <c r="D19" i="5"/>
  <c r="E19" i="5" s="1"/>
  <c r="F19" i="5" s="1"/>
  <c r="G19" i="5" s="1"/>
  <c r="H19" i="5" s="1"/>
  <c r="I19" i="5" s="1"/>
  <c r="F6" i="12"/>
  <c r="D12" i="17"/>
  <c r="E12" i="17" s="1"/>
  <c r="F12" i="17" s="1"/>
  <c r="G12" i="17" s="1"/>
  <c r="C7" i="12"/>
  <c r="E20" i="5"/>
  <c r="F20" i="5" s="1"/>
  <c r="G20" i="5" s="1"/>
  <c r="H20" i="5" s="1"/>
  <c r="I20" i="5" s="1"/>
  <c r="J20" i="5" s="1"/>
  <c r="K20" i="5" s="1"/>
  <c r="L20" i="5" s="1"/>
  <c r="M20" i="5" s="1"/>
  <c r="D18" i="5"/>
  <c r="F14" i="5"/>
  <c r="G6" i="12" l="1"/>
  <c r="C16" i="4"/>
  <c r="C9" i="10"/>
  <c r="E13" i="5"/>
  <c r="C10" i="5"/>
  <c r="D10" i="5" s="1"/>
  <c r="D9" i="5" s="1"/>
  <c r="D6" i="8" s="1"/>
  <c r="B7" i="5"/>
  <c r="C7" i="5" s="1"/>
  <c r="H11" i="5"/>
  <c r="M11" i="5"/>
  <c r="H5" i="7"/>
  <c r="H4" i="7" s="1"/>
  <c r="I5" i="4"/>
  <c r="I6" i="4" s="1"/>
  <c r="O20" i="23"/>
  <c r="E18" i="5"/>
  <c r="E11" i="8" s="1"/>
  <c r="H18" i="5"/>
  <c r="H11" i="8" s="1"/>
  <c r="B4" i="8"/>
  <c r="E15" i="6"/>
  <c r="C13" i="5"/>
  <c r="D13" i="5"/>
  <c r="D8" i="8" s="1"/>
  <c r="D9" i="10"/>
  <c r="C11" i="8"/>
  <c r="F18" i="5"/>
  <c r="G9" i="10" s="1"/>
  <c r="G5" i="12"/>
  <c r="I18" i="5"/>
  <c r="J19" i="5"/>
  <c r="E9" i="10"/>
  <c r="D11" i="8"/>
  <c r="F9" i="10"/>
  <c r="G18" i="5"/>
  <c r="F13" i="5"/>
  <c r="G14" i="5"/>
  <c r="E8" i="8"/>
  <c r="J10" i="2" l="1"/>
  <c r="C7" i="2"/>
  <c r="I9" i="10"/>
  <c r="C18" i="4"/>
  <c r="C19" i="4" s="1"/>
  <c r="J15" i="4"/>
  <c r="F15" i="4"/>
  <c r="F16" i="4" s="1"/>
  <c r="G15" i="4"/>
  <c r="G16" i="4" s="1"/>
  <c r="E15" i="4"/>
  <c r="B7" i="2"/>
  <c r="D11" i="17"/>
  <c r="E11" i="17" s="1"/>
  <c r="E10" i="5"/>
  <c r="F10" i="5" s="1"/>
  <c r="F9" i="5" s="1"/>
  <c r="F6" i="8" s="1"/>
  <c r="C9" i="5"/>
  <c r="C6" i="8" s="1"/>
  <c r="C8" i="8"/>
  <c r="C4" i="10"/>
  <c r="B5" i="11" s="1"/>
  <c r="E5" i="11" s="1"/>
  <c r="H18" i="7"/>
  <c r="C5" i="2"/>
  <c r="G7" i="12"/>
  <c r="D7" i="5"/>
  <c r="B6" i="5"/>
  <c r="B5" i="5" s="1"/>
  <c r="B7" i="8"/>
  <c r="B5" i="8" s="1"/>
  <c r="B7" i="10"/>
  <c r="B6" i="10" s="1"/>
  <c r="F11" i="8"/>
  <c r="I11" i="8"/>
  <c r="J9" i="10"/>
  <c r="J18" i="5"/>
  <c r="K19" i="5"/>
  <c r="G11" i="8"/>
  <c r="H9" i="10"/>
  <c r="C6" i="5"/>
  <c r="C4" i="8"/>
  <c r="H14" i="5"/>
  <c r="G13" i="5"/>
  <c r="D7" i="17"/>
  <c r="F8" i="8"/>
  <c r="H15" i="4" l="1"/>
  <c r="E16" i="4"/>
  <c r="K15" i="4"/>
  <c r="K16" i="4" s="1"/>
  <c r="B23" i="5" s="1"/>
  <c r="J16" i="4"/>
  <c r="G10" i="5"/>
  <c r="H10" i="5" s="1"/>
  <c r="C5" i="5"/>
  <c r="C4" i="5" s="1"/>
  <c r="D8" i="10" s="1"/>
  <c r="E9" i="5"/>
  <c r="E6" i="8" s="1"/>
  <c r="D5" i="2"/>
  <c r="B18" i="10" s="1"/>
  <c r="B4" i="5"/>
  <c r="C8" i="10" s="1"/>
  <c r="B9" i="8"/>
  <c r="D13" i="17"/>
  <c r="B25" i="5"/>
  <c r="D7" i="2"/>
  <c r="C6" i="2"/>
  <c r="C7" i="8"/>
  <c r="C5" i="8" s="1"/>
  <c r="C9" i="8" s="1"/>
  <c r="F11" i="17"/>
  <c r="K9" i="10"/>
  <c r="J11" i="8"/>
  <c r="K18" i="5"/>
  <c r="L19" i="5"/>
  <c r="D8" i="17"/>
  <c r="D6" i="5"/>
  <c r="D5" i="5" s="1"/>
  <c r="D4" i="5" s="1"/>
  <c r="E8" i="10" s="1"/>
  <c r="D7" i="8"/>
  <c r="D5" i="8" s="1"/>
  <c r="E7" i="5"/>
  <c r="C4" i="11"/>
  <c r="B12" i="10"/>
  <c r="D21" i="25" s="1"/>
  <c r="D4" i="8"/>
  <c r="D4" i="10"/>
  <c r="E7" i="17"/>
  <c r="I14" i="5"/>
  <c r="H13" i="5"/>
  <c r="G8" i="8"/>
  <c r="M24" i="5" l="1"/>
  <c r="H24" i="5"/>
  <c r="C23" i="5"/>
  <c r="B10" i="8"/>
  <c r="B12" i="8" s="1"/>
  <c r="I15" i="4"/>
  <c r="I16" i="4" s="1"/>
  <c r="H16" i="4"/>
  <c r="D6" i="2"/>
  <c r="G9" i="5"/>
  <c r="G6" i="8" s="1"/>
  <c r="F4" i="11"/>
  <c r="B22" i="5"/>
  <c r="B14" i="8"/>
  <c r="C25" i="5"/>
  <c r="E13" i="17"/>
  <c r="D14" i="17"/>
  <c r="G11" i="17"/>
  <c r="E27" i="17"/>
  <c r="F27" i="17" s="1"/>
  <c r="K11" i="8"/>
  <c r="L9" i="10"/>
  <c r="L18" i="5"/>
  <c r="M19" i="5"/>
  <c r="E8" i="17"/>
  <c r="E6" i="5"/>
  <c r="E5" i="5" s="1"/>
  <c r="E4" i="5" s="1"/>
  <c r="F8" i="10" s="1"/>
  <c r="E7" i="8"/>
  <c r="E5" i="8" s="1"/>
  <c r="F7" i="5"/>
  <c r="H9" i="5"/>
  <c r="H6" i="8" s="1"/>
  <c r="I10" i="5"/>
  <c r="B6" i="11"/>
  <c r="E4" i="8"/>
  <c r="J14" i="5"/>
  <c r="I13" i="5"/>
  <c r="D9" i="8"/>
  <c r="E4" i="10"/>
  <c r="H8" i="8"/>
  <c r="C10" i="8" l="1"/>
  <c r="C12" i="8" s="1"/>
  <c r="D23" i="5"/>
  <c r="C10" i="9"/>
  <c r="E6" i="11"/>
  <c r="F13" i="17"/>
  <c r="E14" i="17"/>
  <c r="C14" i="8"/>
  <c r="C22" i="5"/>
  <c r="D10" i="10" s="1"/>
  <c r="D6" i="10" s="1"/>
  <c r="D25" i="5"/>
  <c r="C10" i="10"/>
  <c r="C6" i="10" s="1"/>
  <c r="B11" i="12"/>
  <c r="F7" i="17"/>
  <c r="G27" i="17"/>
  <c r="L11" i="8"/>
  <c r="M9" i="10"/>
  <c r="M18" i="5"/>
  <c r="N18" i="5" s="1"/>
  <c r="F8" i="17"/>
  <c r="J10" i="5"/>
  <c r="I9" i="5"/>
  <c r="I6" i="8" s="1"/>
  <c r="F7" i="8"/>
  <c r="F5" i="8" s="1"/>
  <c r="G7" i="5"/>
  <c r="F6" i="5"/>
  <c r="F5" i="5" s="1"/>
  <c r="F4" i="5" s="1"/>
  <c r="G8" i="10" s="1"/>
  <c r="B7" i="11"/>
  <c r="F4" i="10"/>
  <c r="E9" i="8"/>
  <c r="J13" i="5"/>
  <c r="K14" i="5"/>
  <c r="F4" i="8"/>
  <c r="I8" i="8"/>
  <c r="E23" i="5" l="1"/>
  <c r="D10" i="8"/>
  <c r="D12" i="8" s="1"/>
  <c r="B13" i="10"/>
  <c r="B17" i="10" s="1"/>
  <c r="C15" i="9"/>
  <c r="E16" i="9" s="1"/>
  <c r="B13" i="8" s="1"/>
  <c r="F16" i="9"/>
  <c r="F27" i="9"/>
  <c r="F18" i="9"/>
  <c r="E7" i="11"/>
  <c r="E5" i="23"/>
  <c r="I6" i="12"/>
  <c r="K6" i="12" s="1"/>
  <c r="I5" i="12"/>
  <c r="C12" i="10"/>
  <c r="E22" i="25" s="1"/>
  <c r="C5" i="11"/>
  <c r="E25" i="5"/>
  <c r="D22" i="5"/>
  <c r="E10" i="10" s="1"/>
  <c r="E6" i="10" s="1"/>
  <c r="D14" i="8"/>
  <c r="C6" i="11"/>
  <c r="D12" i="10"/>
  <c r="E23" i="25" s="1"/>
  <c r="G13" i="17"/>
  <c r="G14" i="17" s="1"/>
  <c r="F14" i="17"/>
  <c r="F21" i="9"/>
  <c r="F26" i="9"/>
  <c r="F22" i="9"/>
  <c r="F24" i="9"/>
  <c r="F23" i="9"/>
  <c r="F20" i="9"/>
  <c r="F25" i="9"/>
  <c r="F19" i="9"/>
  <c r="F17" i="9"/>
  <c r="G4" i="8"/>
  <c r="H4" i="10" s="1"/>
  <c r="M11" i="8"/>
  <c r="N9" i="10"/>
  <c r="G8" i="17"/>
  <c r="J9" i="5"/>
  <c r="J6" i="8" s="1"/>
  <c r="K10" i="5"/>
  <c r="G7" i="17"/>
  <c r="G6" i="5"/>
  <c r="G5" i="5" s="1"/>
  <c r="G4" i="5" s="1"/>
  <c r="H8" i="10" s="1"/>
  <c r="G7" i="8"/>
  <c r="G5" i="8" s="1"/>
  <c r="H7" i="5"/>
  <c r="G4" i="10"/>
  <c r="F9" i="8"/>
  <c r="B8" i="11"/>
  <c r="J8" i="8"/>
  <c r="K13" i="5"/>
  <c r="L14" i="5"/>
  <c r="D16" i="9" l="1"/>
  <c r="C16" i="9" s="1"/>
  <c r="F23" i="5"/>
  <c r="E10" i="8"/>
  <c r="E12" i="8" s="1"/>
  <c r="G23" i="25"/>
  <c r="G22" i="25"/>
  <c r="H22" i="25" s="1"/>
  <c r="E8" i="11"/>
  <c r="F6" i="11"/>
  <c r="F5" i="11"/>
  <c r="C7" i="11"/>
  <c r="E12" i="10"/>
  <c r="E24" i="25" s="1"/>
  <c r="E22" i="5"/>
  <c r="F10" i="10" s="1"/>
  <c r="F6" i="10" s="1"/>
  <c r="E14" i="8"/>
  <c r="F25" i="5"/>
  <c r="K5" i="12"/>
  <c r="K7" i="12" s="1"/>
  <c r="I7" i="12"/>
  <c r="L38" i="23"/>
  <c r="L39" i="23" s="1"/>
  <c r="K22" i="23"/>
  <c r="M20" i="23"/>
  <c r="O21" i="23" s="1"/>
  <c r="O22" i="23" s="1"/>
  <c r="C27" i="23"/>
  <c r="C26" i="23"/>
  <c r="C22" i="23"/>
  <c r="C18" i="23"/>
  <c r="C28" i="23"/>
  <c r="C30" i="23"/>
  <c r="C21" i="23"/>
  <c r="C29" i="23"/>
  <c r="C16" i="23"/>
  <c r="E16" i="23" s="1"/>
  <c r="H16" i="23" s="1"/>
  <c r="C25" i="23"/>
  <c r="C19" i="23"/>
  <c r="E11" i="23"/>
  <c r="B26" i="23" s="1"/>
  <c r="C23" i="23"/>
  <c r="C20" i="23"/>
  <c r="C24" i="23"/>
  <c r="C17" i="23"/>
  <c r="C15" i="10"/>
  <c r="B15" i="8"/>
  <c r="G9" i="8"/>
  <c r="H6" i="5"/>
  <c r="H5" i="5" s="1"/>
  <c r="H4" i="5" s="1"/>
  <c r="I8" i="10" s="1"/>
  <c r="I7" i="5"/>
  <c r="H7" i="8"/>
  <c r="H5" i="8" s="1"/>
  <c r="L10" i="5"/>
  <c r="K9" i="5"/>
  <c r="K6" i="8" s="1"/>
  <c r="K8" i="8"/>
  <c r="M14" i="5"/>
  <c r="L13" i="5"/>
  <c r="I4" i="8"/>
  <c r="B10" i="11"/>
  <c r="H4" i="8"/>
  <c r="B9" i="11"/>
  <c r="C14" i="10" l="1"/>
  <c r="B17" i="23"/>
  <c r="B18" i="23" s="1"/>
  <c r="B19" i="23" s="1"/>
  <c r="B20" i="23" s="1"/>
  <c r="B21" i="23" s="1"/>
  <c r="B22" i="23" s="1"/>
  <c r="B23" i="23" s="1"/>
  <c r="B24" i="23" s="1"/>
  <c r="B25" i="23" s="1"/>
  <c r="B27" i="23"/>
  <c r="B28" i="23" s="1"/>
  <c r="F10" i="8"/>
  <c r="F12" i="8" s="1"/>
  <c r="G23" i="5"/>
  <c r="E17" i="9"/>
  <c r="C13" i="8" s="1"/>
  <c r="C15" i="8" s="1"/>
  <c r="C17" i="10"/>
  <c r="K23" i="23"/>
  <c r="L22" i="23"/>
  <c r="G24" i="25"/>
  <c r="H23" i="25"/>
  <c r="E9" i="11"/>
  <c r="E10" i="11"/>
  <c r="F7" i="11"/>
  <c r="E13" i="23"/>
  <c r="K24" i="23"/>
  <c r="K19" i="23"/>
  <c r="L40" i="23"/>
  <c r="F22" i="5"/>
  <c r="G10" i="10" s="1"/>
  <c r="G6" i="10" s="1"/>
  <c r="G25" i="5"/>
  <c r="F14" i="8"/>
  <c r="C8" i="11"/>
  <c r="F12" i="10"/>
  <c r="E25" i="25" s="1"/>
  <c r="B16" i="8"/>
  <c r="B17" i="8" s="1"/>
  <c r="J7" i="5"/>
  <c r="I7" i="8"/>
  <c r="I5" i="8" s="1"/>
  <c r="I9" i="8" s="1"/>
  <c r="I6" i="5"/>
  <c r="I5" i="5" s="1"/>
  <c r="I4" i="5" s="1"/>
  <c r="J8" i="10" s="1"/>
  <c r="L9" i="5"/>
  <c r="L6" i="8" s="1"/>
  <c r="M10" i="5"/>
  <c r="H9" i="8"/>
  <c r="I4" i="10"/>
  <c r="J4" i="10"/>
  <c r="M13" i="5"/>
  <c r="N13" i="5" s="1"/>
  <c r="L8" i="8"/>
  <c r="H23" i="5" l="1"/>
  <c r="G10" i="8"/>
  <c r="G12" i="8" s="1"/>
  <c r="H26" i="9"/>
  <c r="D15" i="10"/>
  <c r="C19" i="10"/>
  <c r="D17" i="9"/>
  <c r="J31" i="23"/>
  <c r="L23" i="23"/>
  <c r="G25" i="25"/>
  <c r="H24" i="25"/>
  <c r="F8" i="11"/>
  <c r="G14" i="8"/>
  <c r="H25" i="5"/>
  <c r="G22" i="5"/>
  <c r="C9" i="11"/>
  <c r="G12" i="10"/>
  <c r="E26" i="25" s="1"/>
  <c r="K20" i="23"/>
  <c r="K28" i="23"/>
  <c r="D26" i="23"/>
  <c r="G26" i="23"/>
  <c r="B19" i="8"/>
  <c r="B18" i="8"/>
  <c r="K4" i="8"/>
  <c r="L4" i="10" s="1"/>
  <c r="M9" i="5"/>
  <c r="M6" i="8" s="1"/>
  <c r="K7" i="5"/>
  <c r="J6" i="5"/>
  <c r="J5" i="5" s="1"/>
  <c r="J4" i="5" s="1"/>
  <c r="K8" i="10" s="1"/>
  <c r="J7" i="8"/>
  <c r="J5" i="8" s="1"/>
  <c r="M8" i="8"/>
  <c r="C16" i="8"/>
  <c r="C17" i="8" s="1"/>
  <c r="J4" i="8"/>
  <c r="B12" i="11"/>
  <c r="B11" i="11"/>
  <c r="I23" i="5" l="1"/>
  <c r="H10" i="8"/>
  <c r="H12" i="8" s="1"/>
  <c r="C17" i="9"/>
  <c r="E18" i="9" s="1"/>
  <c r="D18" i="9" s="1"/>
  <c r="D14" i="10"/>
  <c r="D17" i="10" s="1"/>
  <c r="D19" i="10" s="1"/>
  <c r="G26" i="25"/>
  <c r="H25" i="25"/>
  <c r="E11" i="11"/>
  <c r="E12" i="11"/>
  <c r="F9" i="11"/>
  <c r="D18" i="23"/>
  <c r="E18" i="23" s="1"/>
  <c r="F18" i="23" s="1"/>
  <c r="G18" i="23"/>
  <c r="G27" i="23"/>
  <c r="D27" i="23"/>
  <c r="E27" i="23" s="1"/>
  <c r="F27" i="23" s="1"/>
  <c r="D17" i="23"/>
  <c r="E17" i="23" s="1"/>
  <c r="F17" i="23" s="1"/>
  <c r="G17" i="23"/>
  <c r="K21" i="23"/>
  <c r="E26" i="23"/>
  <c r="F26" i="23" s="1"/>
  <c r="J32" i="23"/>
  <c r="J33" i="23"/>
  <c r="H10" i="10"/>
  <c r="H6" i="10" s="1"/>
  <c r="E29" i="5"/>
  <c r="H22" i="5"/>
  <c r="I10" i="10" s="1"/>
  <c r="I6" i="10" s="1"/>
  <c r="H14" i="8"/>
  <c r="I25" i="5"/>
  <c r="K7" i="8"/>
  <c r="K5" i="8" s="1"/>
  <c r="K9" i="8" s="1"/>
  <c r="K6" i="5"/>
  <c r="K5" i="5" s="1"/>
  <c r="K4" i="5" s="1"/>
  <c r="L8" i="10" s="1"/>
  <c r="L7" i="5"/>
  <c r="L4" i="8"/>
  <c r="C19" i="8"/>
  <c r="C18" i="8"/>
  <c r="K4" i="10"/>
  <c r="J9" i="8"/>
  <c r="B14" i="11"/>
  <c r="M4" i="8"/>
  <c r="I10" i="8" l="1"/>
  <c r="I12" i="8" s="1"/>
  <c r="J23" i="5"/>
  <c r="D13" i="8"/>
  <c r="D15" i="8" s="1"/>
  <c r="H17" i="23"/>
  <c r="H18" i="23"/>
  <c r="H26" i="25"/>
  <c r="E14" i="11"/>
  <c r="I14" i="8"/>
  <c r="I22" i="5"/>
  <c r="J10" i="10" s="1"/>
  <c r="J6" i="10" s="1"/>
  <c r="J25" i="5"/>
  <c r="C11" i="11"/>
  <c r="I12" i="10"/>
  <c r="E28" i="25" s="1"/>
  <c r="C10" i="11"/>
  <c r="H12" i="10"/>
  <c r="E27" i="25" s="1"/>
  <c r="H26" i="23"/>
  <c r="H27" i="23"/>
  <c r="B29" i="23"/>
  <c r="D28" i="23"/>
  <c r="E28" i="23" s="1"/>
  <c r="F28" i="23" s="1"/>
  <c r="G28" i="23"/>
  <c r="D19" i="23"/>
  <c r="E19" i="23" s="1"/>
  <c r="F19" i="23" s="1"/>
  <c r="G19" i="23"/>
  <c r="L6" i="5"/>
  <c r="L5" i="5" s="1"/>
  <c r="L4" i="5" s="1"/>
  <c r="M8" i="10" s="1"/>
  <c r="L7" i="8"/>
  <c r="L5" i="8" s="1"/>
  <c r="L9" i="8" s="1"/>
  <c r="M7" i="5"/>
  <c r="M4" i="10"/>
  <c r="B15" i="11" s="1"/>
  <c r="N4" i="10"/>
  <c r="B13" i="11"/>
  <c r="E14" i="10"/>
  <c r="D20" i="17"/>
  <c r="C18" i="9"/>
  <c r="J10" i="8" l="1"/>
  <c r="J12" i="8" s="1"/>
  <c r="K23" i="5"/>
  <c r="E15" i="10"/>
  <c r="E17" i="10" s="1"/>
  <c r="H19" i="23"/>
  <c r="H28" i="23"/>
  <c r="G27" i="25"/>
  <c r="H27" i="25" s="1"/>
  <c r="G28" i="25"/>
  <c r="E13" i="11"/>
  <c r="E15" i="11"/>
  <c r="F10" i="11"/>
  <c r="F11" i="11"/>
  <c r="D20" i="23"/>
  <c r="E20" i="23" s="1"/>
  <c r="F20" i="23" s="1"/>
  <c r="G20" i="23"/>
  <c r="G29" i="23"/>
  <c r="D29" i="23"/>
  <c r="E29" i="23" s="1"/>
  <c r="F29" i="23" s="1"/>
  <c r="B30" i="23"/>
  <c r="K25" i="5"/>
  <c r="J22" i="5"/>
  <c r="K10" i="10" s="1"/>
  <c r="K6" i="10" s="1"/>
  <c r="J14" i="8"/>
  <c r="C12" i="11"/>
  <c r="J12" i="10"/>
  <c r="E29" i="25" s="1"/>
  <c r="M7" i="8"/>
  <c r="M5" i="8" s="1"/>
  <c r="N5" i="8" s="1"/>
  <c r="M6" i="5"/>
  <c r="M5" i="5" s="1"/>
  <c r="D23" i="17"/>
  <c r="D24" i="17" s="1"/>
  <c r="E19" i="9"/>
  <c r="D19" i="9" s="1"/>
  <c r="D16" i="8"/>
  <c r="D18" i="17" s="1"/>
  <c r="D21" i="17" s="1"/>
  <c r="B16" i="11"/>
  <c r="K10" i="8" l="1"/>
  <c r="K12" i="8" s="1"/>
  <c r="L23" i="5"/>
  <c r="D6" i="17"/>
  <c r="D9" i="17" s="1"/>
  <c r="H20" i="23"/>
  <c r="M4" i="5"/>
  <c r="N8" i="10" s="1"/>
  <c r="G29" i="25"/>
  <c r="H28" i="25"/>
  <c r="E16" i="11"/>
  <c r="F12" i="11"/>
  <c r="C13" i="11"/>
  <c r="K12" i="10"/>
  <c r="E30" i="25" s="1"/>
  <c r="K22" i="5"/>
  <c r="L10" i="10" s="1"/>
  <c r="L6" i="10" s="1"/>
  <c r="L25" i="5"/>
  <c r="K14" i="8"/>
  <c r="D30" i="23"/>
  <c r="E30" i="23" s="1"/>
  <c r="F30" i="23" s="1"/>
  <c r="G30" i="23"/>
  <c r="H29" i="23"/>
  <c r="D21" i="23"/>
  <c r="E21" i="23" s="1"/>
  <c r="F21" i="23" s="1"/>
  <c r="G21" i="23"/>
  <c r="E19" i="10"/>
  <c r="M9" i="8"/>
  <c r="D17" i="8"/>
  <c r="E13" i="8"/>
  <c r="D25" i="17"/>
  <c r="M23" i="5" l="1"/>
  <c r="M10" i="8" s="1"/>
  <c r="L10" i="8"/>
  <c r="L12" i="8" s="1"/>
  <c r="H30" i="23"/>
  <c r="H21" i="23"/>
  <c r="M12" i="8"/>
  <c r="N9" i="8"/>
  <c r="G30" i="25"/>
  <c r="H29" i="25"/>
  <c r="F13" i="11"/>
  <c r="G22" i="23"/>
  <c r="D22" i="23"/>
  <c r="E22" i="23" s="1"/>
  <c r="F22" i="23" s="1"/>
  <c r="M25" i="5"/>
  <c r="L22" i="5"/>
  <c r="M10" i="10" s="1"/>
  <c r="M6" i="10" s="1"/>
  <c r="L14" i="8"/>
  <c r="C14" i="11"/>
  <c r="L12" i="10"/>
  <c r="E31" i="25" s="1"/>
  <c r="F14" i="10"/>
  <c r="C19" i="9"/>
  <c r="D19" i="8"/>
  <c r="D28" i="17"/>
  <c r="D18" i="8"/>
  <c r="D15" i="17"/>
  <c r="F15" i="10"/>
  <c r="E15" i="8"/>
  <c r="N12" i="8" l="1"/>
  <c r="G31" i="25"/>
  <c r="H30" i="25"/>
  <c r="F14" i="11"/>
  <c r="C15" i="11"/>
  <c r="M12" i="10"/>
  <c r="E32" i="25" s="1"/>
  <c r="M22" i="5"/>
  <c r="M14" i="8"/>
  <c r="D23" i="23"/>
  <c r="E23" i="23" s="1"/>
  <c r="F23" i="23" s="1"/>
  <c r="G23" i="23"/>
  <c r="H22" i="23"/>
  <c r="E16" i="8"/>
  <c r="D30" i="17"/>
  <c r="F17" i="10"/>
  <c r="E20" i="9"/>
  <c r="H23" i="23" l="1"/>
  <c r="N10" i="10"/>
  <c r="N6" i="10" s="1"/>
  <c r="N12" i="10" s="1"/>
  <c r="O25" i="5"/>
  <c r="G32" i="25"/>
  <c r="H31" i="25"/>
  <c r="F15" i="11"/>
  <c r="G24" i="23"/>
  <c r="D24" i="23"/>
  <c r="E24" i="23" s="1"/>
  <c r="F24" i="23" s="1"/>
  <c r="F13" i="8"/>
  <c r="D20" i="9"/>
  <c r="F19" i="10"/>
  <c r="D31" i="17"/>
  <c r="E17" i="8"/>
  <c r="C16" i="11" l="1"/>
  <c r="F16" i="11" s="1"/>
  <c r="H32" i="25"/>
  <c r="E33" i="25"/>
  <c r="B22" i="10"/>
  <c r="G25" i="23"/>
  <c r="D25" i="23"/>
  <c r="E25" i="23" s="1"/>
  <c r="F25" i="23" s="1"/>
  <c r="H24" i="23"/>
  <c r="G15" i="10"/>
  <c r="F15" i="8"/>
  <c r="G14" i="10"/>
  <c r="C20" i="9"/>
  <c r="E19" i="8"/>
  <c r="E18" i="8"/>
  <c r="G33" i="25" l="1"/>
  <c r="H33" i="25" s="1"/>
  <c r="H34" i="25" s="1"/>
  <c r="G36" i="25" s="1"/>
  <c r="D39" i="25" s="1"/>
  <c r="D44" i="25" s="1"/>
  <c r="E44" i="25" s="1"/>
  <c r="F44" i="25" s="1"/>
  <c r="H25" i="23"/>
  <c r="G17" i="10"/>
  <c r="F16" i="8"/>
  <c r="F17" i="8" s="1"/>
  <c r="E21" i="9"/>
  <c r="G19" i="10" l="1"/>
  <c r="F19" i="8"/>
  <c r="F18" i="8"/>
  <c r="G13" i="8"/>
  <c r="D21" i="9"/>
  <c r="H15" i="10" l="1"/>
  <c r="G15" i="8"/>
  <c r="H14" i="10"/>
  <c r="E20" i="17"/>
  <c r="C21" i="9"/>
  <c r="H17" i="10" l="1"/>
  <c r="G16" i="8"/>
  <c r="E18" i="17" s="1"/>
  <c r="E21" i="17" s="1"/>
  <c r="E23" i="17"/>
  <c r="E24" i="17" s="1"/>
  <c r="E22" i="9"/>
  <c r="H13" i="8" s="1"/>
  <c r="D22" i="9"/>
  <c r="C22" i="9" s="1"/>
  <c r="H19" i="10" l="1"/>
  <c r="E6" i="17"/>
  <c r="E25" i="17"/>
  <c r="I14" i="10"/>
  <c r="E23" i="9"/>
  <c r="I13" i="8" s="1"/>
  <c r="D23" i="9"/>
  <c r="J14" i="10" s="1"/>
  <c r="I15" i="10"/>
  <c r="H15" i="8"/>
  <c r="G17" i="8"/>
  <c r="E9" i="17" l="1"/>
  <c r="C23" i="9"/>
  <c r="D24" i="9" s="1"/>
  <c r="K14" i="10" s="1"/>
  <c r="G19" i="8"/>
  <c r="E28" i="17"/>
  <c r="G18" i="8"/>
  <c r="H16" i="8"/>
  <c r="H17" i="8" s="1"/>
  <c r="J15" i="10"/>
  <c r="J17" i="10" s="1"/>
  <c r="I15" i="8"/>
  <c r="I17" i="10"/>
  <c r="E24" i="9" l="1"/>
  <c r="J13" i="8" s="1"/>
  <c r="K15" i="10" s="1"/>
  <c r="E15" i="17"/>
  <c r="H19" i="8"/>
  <c r="E30" i="17"/>
  <c r="I16" i="8"/>
  <c r="I17" i="8" s="1"/>
  <c r="I19" i="8" s="1"/>
  <c r="I19" i="10"/>
  <c r="J19" i="10" s="1"/>
  <c r="C24" i="9"/>
  <c r="F20" i="17"/>
  <c r="H18" i="8"/>
  <c r="B23" i="10" l="1"/>
  <c r="J15" i="8"/>
  <c r="K17" i="10"/>
  <c r="I18" i="8"/>
  <c r="E31" i="17"/>
  <c r="E17" i="11"/>
  <c r="F23" i="17"/>
  <c r="F24" i="17" s="1"/>
  <c r="D25" i="9"/>
  <c r="F6" i="17" l="1"/>
  <c r="F17" i="11"/>
  <c r="H18" i="11" s="1"/>
  <c r="J16" i="8"/>
  <c r="F18" i="17" s="1"/>
  <c r="F21" i="17" s="1"/>
  <c r="K19" i="10"/>
  <c r="L14" i="10"/>
  <c r="E25" i="9"/>
  <c r="K13" i="8" s="1"/>
  <c r="C25" i="9"/>
  <c r="F18" i="11" l="1"/>
  <c r="F9" i="17"/>
  <c r="F15" i="17" s="1"/>
  <c r="F25" i="17"/>
  <c r="J17" i="8"/>
  <c r="J19" i="8" s="1"/>
  <c r="L15" i="10"/>
  <c r="K15" i="8"/>
  <c r="D26" i="9"/>
  <c r="C26" i="9" s="1"/>
  <c r="D27" i="9" s="1"/>
  <c r="C27" i="9" l="1"/>
  <c r="E27" i="9"/>
  <c r="F28" i="17"/>
  <c r="F30" i="17" s="1"/>
  <c r="J18" i="8"/>
  <c r="L17" i="10"/>
  <c r="K16" i="8"/>
  <c r="K17" i="8" s="1"/>
  <c r="M14" i="10"/>
  <c r="E26" i="9"/>
  <c r="L13" i="8" s="1"/>
  <c r="L19" i="10" l="1"/>
  <c r="K18" i="8"/>
  <c r="N14" i="10"/>
  <c r="G20" i="17"/>
  <c r="M15" i="10"/>
  <c r="M17" i="10" s="1"/>
  <c r="L15" i="8"/>
  <c r="K19" i="8"/>
  <c r="F31" i="17"/>
  <c r="M13" i="8"/>
  <c r="N15" i="10" s="1"/>
  <c r="M19" i="10" l="1"/>
  <c r="G23" i="17"/>
  <c r="G24" i="17" s="1"/>
  <c r="N17" i="10"/>
  <c r="B20" i="10" s="1"/>
  <c r="M15" i="8"/>
  <c r="N15" i="8" s="1"/>
  <c r="L16" i="8"/>
  <c r="B21" i="10" l="1"/>
  <c r="G6" i="17"/>
  <c r="G9" i="17" s="1"/>
  <c r="N19" i="10"/>
  <c r="M16" i="8"/>
  <c r="G18" i="17" s="1"/>
  <c r="G21" i="17" s="1"/>
  <c r="L17" i="8"/>
  <c r="G25" i="17" l="1"/>
  <c r="G15" i="17"/>
  <c r="L19" i="8"/>
  <c r="L18" i="8"/>
  <c r="M17" i="8"/>
  <c r="M19" i="8" l="1"/>
  <c r="N17" i="8"/>
  <c r="M18" i="8"/>
  <c r="G28" i="17"/>
  <c r="G30" i="17" l="1"/>
  <c r="G31" i="17" l="1"/>
  <c r="D28" i="9" l="1"/>
</calcChain>
</file>

<file path=xl/sharedStrings.xml><?xml version="1.0" encoding="utf-8"?>
<sst xmlns="http://schemas.openxmlformats.org/spreadsheetml/2006/main" count="518" uniqueCount="388">
  <si>
    <t>RUBRO</t>
  </si>
  <si>
    <t>VALOR UNITARIO</t>
  </si>
  <si>
    <t>COSTO TOTAL</t>
  </si>
  <si>
    <t>I. ACTIVO FIJO</t>
  </si>
  <si>
    <t>Unidad</t>
  </si>
  <si>
    <t>Muebles y enseres</t>
  </si>
  <si>
    <t>Gastos Administrativos</t>
  </si>
  <si>
    <t>Gastos de venta</t>
  </si>
  <si>
    <t>TOTAL COSTOS INDIRECTOS</t>
  </si>
  <si>
    <t>TOTAL COSTOS</t>
  </si>
  <si>
    <t>CANTIDAD</t>
  </si>
  <si>
    <t>UNID.</t>
  </si>
  <si>
    <t>CANT.</t>
  </si>
  <si>
    <t>LIC. DE FUNCIONAMIENTO</t>
  </si>
  <si>
    <t>SUNAT (GRATUITO)</t>
  </si>
  <si>
    <t>ELABORACION DE ESTATUTO</t>
  </si>
  <si>
    <t>NOTARIA</t>
  </si>
  <si>
    <t>INSCRIPCION DE REGUSTROS PUBLICOS</t>
  </si>
  <si>
    <t>DEFENSA CIVIL</t>
  </si>
  <si>
    <t>documento</t>
  </si>
  <si>
    <t>TOTAL CAPITAL DE TRABAJO</t>
  </si>
  <si>
    <t>FUENTE: ELABORACION PROPIA</t>
  </si>
  <si>
    <t>ESTRUCTURA DE LA INVERSION</t>
  </si>
  <si>
    <t>FUENTES DE FINANCIAMIENTO</t>
  </si>
  <si>
    <t>FUENTE</t>
  </si>
  <si>
    <t>DESTINO</t>
  </si>
  <si>
    <t>%</t>
  </si>
  <si>
    <t>APORTE PROPIO</t>
  </si>
  <si>
    <t>PRESTAMO</t>
  </si>
  <si>
    <t>TOTAL</t>
  </si>
  <si>
    <t>CAPITAL DE TRABAJO</t>
  </si>
  <si>
    <t>A. TANGIBLES</t>
  </si>
  <si>
    <t>TOTAL TANGIBLES</t>
  </si>
  <si>
    <t>B. INTANGIBLES</t>
  </si>
  <si>
    <t>TOTAL INTANGIBLES</t>
  </si>
  <si>
    <t>II. CAPITAL DE TRABAJO</t>
  </si>
  <si>
    <t>TOTAL ACTIVO FIJO</t>
  </si>
  <si>
    <t>INVERSION FIJA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</si>
  <si>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</si>
  <si>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</si>
  <si>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</si>
  <si>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</si>
  <si>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</si>
  <si>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</si>
  <si>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</si>
  <si>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</si>
  <si>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</si>
  <si>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</si>
  <si>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</si>
  <si>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</si>
  <si>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P. U.</t>
  </si>
  <si>
    <t>PROYECCION DE VENTAS</t>
  </si>
  <si>
    <t>TOTAL VENTAS</t>
  </si>
  <si>
    <t>PRESUPUESTO DE GASTOS</t>
  </si>
  <si>
    <t>CONCEPTO</t>
  </si>
  <si>
    <t>A.- COSTOS DIRECTOS</t>
  </si>
  <si>
    <t>MANO DE OBRA DIRECTA</t>
  </si>
  <si>
    <t>B.- COSTOS INDIRECTOS</t>
  </si>
  <si>
    <t>GASTOS DE OPERACIÓN</t>
  </si>
  <si>
    <t>A.- GASTOS DE VENTAS</t>
  </si>
  <si>
    <t>B.- GASTOS ADMINISTRACION</t>
  </si>
  <si>
    <t>I. MATERIALES USADOS</t>
  </si>
  <si>
    <t>Reposicion de implementos</t>
  </si>
  <si>
    <t>DESCRIPCION</t>
  </si>
  <si>
    <t>SUELDO MES</t>
  </si>
  <si>
    <t>APORTACION</t>
  </si>
  <si>
    <t>AFP</t>
  </si>
  <si>
    <t>ESSALUD</t>
  </si>
  <si>
    <t>TOTAL PLANILLA</t>
  </si>
  <si>
    <t>APORTES A PAGAR</t>
  </si>
  <si>
    <t>Gratificaciones</t>
  </si>
  <si>
    <t>II. MANO DE OBRA DIRECTA</t>
  </si>
  <si>
    <t>Alquiler del local</t>
  </si>
  <si>
    <t>DEPRECIACION DE MAQUINARIA MUEBLES Y ENSERES</t>
  </si>
  <si>
    <t>DEPRECIACION MES</t>
  </si>
  <si>
    <t>DEPRECIACION MENSUAL</t>
  </si>
  <si>
    <t>VIDA UTIL (MESES)</t>
  </si>
  <si>
    <t>MAQUINARIA Y EQUIPOS</t>
  </si>
  <si>
    <t>Depreciación</t>
  </si>
  <si>
    <t>ESTADO DE PÉRDIDAS Y GANANCIAS</t>
  </si>
  <si>
    <t>C. UTILIDAD BRUTA</t>
  </si>
  <si>
    <t>UTILIDAD NETA</t>
  </si>
  <si>
    <t>Mano de obra directa</t>
  </si>
  <si>
    <t>Costos Indirectos</t>
  </si>
  <si>
    <t>Administración</t>
  </si>
  <si>
    <t>Ventas</t>
  </si>
  <si>
    <t>Depreciación equipo</t>
  </si>
  <si>
    <t>MES</t>
  </si>
  <si>
    <t>SALDO</t>
  </si>
  <si>
    <t>INTERES</t>
  </si>
  <si>
    <t>CUOTA</t>
  </si>
  <si>
    <t>CRONOGRAMA DE PAGOS</t>
  </si>
  <si>
    <t>FLUJO ECONÓMICO ‑ FINANCIERO</t>
  </si>
  <si>
    <t>COK</t>
  </si>
  <si>
    <t>INGRESOS</t>
  </si>
  <si>
    <t>COSTOS</t>
  </si>
  <si>
    <t>Inversión</t>
  </si>
  <si>
    <t>Gastos de Ventas</t>
  </si>
  <si>
    <t>FLUJO ECONÓMICO</t>
  </si>
  <si>
    <t>Préstamo</t>
  </si>
  <si>
    <t>Amortización</t>
  </si>
  <si>
    <t>Intereses</t>
  </si>
  <si>
    <t>FLUJO FINANCIERO</t>
  </si>
  <si>
    <t>Aporte propio</t>
  </si>
  <si>
    <t>Saldo acumulado</t>
  </si>
  <si>
    <t>MESES</t>
  </si>
  <si>
    <t>COSTOS ACTUALIZADOS</t>
  </si>
  <si>
    <t>B/C</t>
  </si>
  <si>
    <t>PUNTO DE EQUILIBRIO</t>
  </si>
  <si>
    <t>TEM</t>
  </si>
  <si>
    <t>TEM SEG DES</t>
  </si>
  <si>
    <t>TEM TOTAL</t>
  </si>
  <si>
    <t>MONTO</t>
  </si>
  <si>
    <t>TEA</t>
  </si>
  <si>
    <t>PLAZO</t>
  </si>
  <si>
    <t>SEG DESG</t>
  </si>
  <si>
    <t>AMORT.</t>
  </si>
  <si>
    <t>RENTABILIDAD DE VENTAS ((UTILIDAD NETA/INGRESOS)*100)</t>
  </si>
  <si>
    <t>TIRF</t>
  </si>
  <si>
    <t>VANF</t>
  </si>
  <si>
    <t>ACTIVO/</t>
  </si>
  <si>
    <t>Activo Corriente/</t>
  </si>
  <si>
    <t>CyB</t>
  </si>
  <si>
    <t>Caja y Bancos/</t>
  </si>
  <si>
    <t>Exit</t>
  </si>
  <si>
    <t>Existencias/</t>
  </si>
  <si>
    <t>TOTAL ACTIVO CORRIENTE/</t>
  </si>
  <si>
    <t>Activo No Corriente/</t>
  </si>
  <si>
    <t>IME</t>
  </si>
  <si>
    <t>Inmueble Maquinaria y Eq</t>
  </si>
  <si>
    <t>AIN</t>
  </si>
  <si>
    <t>Activos Intangibles (neto)/</t>
  </si>
  <si>
    <t>TOTAL ACTIVO NO CORRIENTE/</t>
  </si>
  <si>
    <t>TOTAL ACTIVO/</t>
  </si>
  <si>
    <t>Pasivo Corriente/</t>
  </si>
  <si>
    <t>CPPC</t>
  </si>
  <si>
    <t>Cuentas por Pagar Comerciales/</t>
  </si>
  <si>
    <t>CPPER</t>
  </si>
  <si>
    <t>TOTAL PASIVO CORRIENTE/</t>
  </si>
  <si>
    <t>TOTAL PASIVO/</t>
  </si>
  <si>
    <t>PATRIMONIO NETO/</t>
  </si>
  <si>
    <t>Capi</t>
  </si>
  <si>
    <t>Capital/</t>
  </si>
  <si>
    <t>ORC</t>
  </si>
  <si>
    <t>TOTAL PATRIMONIO NETO/</t>
  </si>
  <si>
    <t>TOTAL PASIVO Y PATRIMONIO NETO/</t>
  </si>
  <si>
    <t>1ER TRIMESTRE</t>
  </si>
  <si>
    <t>2DO TRIMESTRE</t>
  </si>
  <si>
    <t>3ER TRIMESTRE</t>
  </si>
  <si>
    <t>4TO TRIMESTRE</t>
  </si>
  <si>
    <t>Estado de Situación Financiera Balance General</t>
  </si>
  <si>
    <t>1.2.</t>
  </si>
  <si>
    <t>PASIVO Y PATRIMONIO</t>
  </si>
  <si>
    <t>AMORTIZACION</t>
  </si>
  <si>
    <t>DEPR</t>
  </si>
  <si>
    <t>Depreciacion Acumulada /</t>
  </si>
  <si>
    <t>Cuentas por Pagar a Entidades Financieras/</t>
  </si>
  <si>
    <t>Utilidad del Ejercicio</t>
  </si>
  <si>
    <t>Util</t>
  </si>
  <si>
    <t>Utilidad de Trimestres pasados</t>
  </si>
  <si>
    <t>Tributos por Pagar</t>
  </si>
  <si>
    <t>TribxP</t>
  </si>
  <si>
    <t>Cuentas por Cobrar Comerciales</t>
  </si>
  <si>
    <t>FINANCIAMIENTO</t>
  </si>
  <si>
    <t>INGRESO POR VENTAS</t>
  </si>
  <si>
    <t>GASTOS INDIRECTOS</t>
  </si>
  <si>
    <t>BALANCE GENERAL</t>
  </si>
  <si>
    <t>EVALUACION COSTO - BENEFICIO</t>
  </si>
  <si>
    <t>Combustible</t>
  </si>
  <si>
    <t>INVERSION</t>
  </si>
  <si>
    <t>COSTO BENEFICIO</t>
  </si>
  <si>
    <t>DEPRECIACION</t>
  </si>
  <si>
    <t>ESTADO GANANCIAS Y PERDIDAS</t>
  </si>
  <si>
    <t>Maquinaria y/o Equipos</t>
  </si>
  <si>
    <t>PLANILLA DE EMPLEADOS</t>
  </si>
  <si>
    <t>Pasivo  No Corriente/</t>
  </si>
  <si>
    <t>TOTAL PASIVO NO CORRIENTE/</t>
  </si>
  <si>
    <t>D. UTILIDAD DE OPERACIÓN</t>
  </si>
  <si>
    <t>E. UTILIDAD ANTES DE IMPUESTOS</t>
  </si>
  <si>
    <t>CxCC</t>
  </si>
  <si>
    <t>Linea de Comercializacion</t>
  </si>
  <si>
    <t>% Participacion</t>
  </si>
  <si>
    <t>Margen</t>
  </si>
  <si>
    <t>Margen Ponderado</t>
  </si>
  <si>
    <t>PUNTO DE EQUILIBRIO en Unidades</t>
  </si>
  <si>
    <t>COSTOS FIJOS</t>
  </si>
  <si>
    <t xml:space="preserve">Precio Venta </t>
  </si>
  <si>
    <t xml:space="preserve">Costo Variable Unitario    </t>
  </si>
  <si>
    <t>PUNTO DE EQUILIBRIO en soles</t>
  </si>
  <si>
    <t>SERVICIOS AL MES (Unid)</t>
  </si>
  <si>
    <t>Otros</t>
  </si>
  <si>
    <t>Cant. Diaria</t>
  </si>
  <si>
    <t>Cant. Mensual</t>
  </si>
  <si>
    <t>Cant. Anual</t>
  </si>
  <si>
    <t>Agua</t>
  </si>
  <si>
    <t>Energia Electrica</t>
  </si>
  <si>
    <t>Alquiler de local</t>
  </si>
  <si>
    <t>COSTES FIJOS:</t>
  </si>
  <si>
    <t>COSTES VARIABLES UNITARIOS:</t>
  </si>
  <si>
    <t>PRECIO UNITARIO:</t>
  </si>
  <si>
    <t>UMBRAL DE RENTABILIDAD:</t>
  </si>
  <si>
    <t>UNIDADES</t>
  </si>
  <si>
    <t>COSTES FIJOS</t>
  </si>
  <si>
    <t>COSTES VARIABLES</t>
  </si>
  <si>
    <t>COSTES TOTALES</t>
  </si>
  <si>
    <t>COSTES MEDIOS</t>
  </si>
  <si>
    <t>BENEFICIOS</t>
  </si>
  <si>
    <t>Nuevos Soles</t>
  </si>
  <si>
    <t>TASA DE DEPRECIACION</t>
  </si>
  <si>
    <t>Mantenimiento de Local</t>
  </si>
  <si>
    <t>¿Cómo se calcula el periodo de Recuperación de la Inversión (PRI)?</t>
  </si>
  <si>
    <t>El PRI mide el número de periodos (velocidad) requeridos para recuperar el capital invertido en el proyecto. Mientras menor sea el plazo de recuperación de la inversión, menos riesgoso tenderá a ser el proyecto.</t>
  </si>
  <si>
    <t>Beneficio</t>
  </si>
  <si>
    <t>Factor de</t>
  </si>
  <si>
    <t xml:space="preserve">Inversión </t>
  </si>
  <si>
    <t>Neto</t>
  </si>
  <si>
    <t>Actualización</t>
  </si>
  <si>
    <t xml:space="preserve">Actualizado </t>
  </si>
  <si>
    <t>Acumulado (4)</t>
  </si>
  <si>
    <t>promedio=</t>
  </si>
  <si>
    <t xml:space="preserve">PRI  =        </t>
  </si>
  <si>
    <t>(1) Monto de la inversión total</t>
  </si>
  <si>
    <t>(2) Saldo del flujo de caja económico</t>
  </si>
  <si>
    <t>(3) Factor de actualización que se obtiene de las Tablas Financieras (Equivalente al COK)</t>
  </si>
  <si>
    <t>(4) Se acumulan los beneficios netos actualizados hasta alcanzar el monto de la inversión.</t>
  </si>
  <si>
    <t>INICIO</t>
  </si>
  <si>
    <t>FLUJO DE CAJA VAN TIR VANF TIRF</t>
  </si>
  <si>
    <t>Aporte Obligt</t>
  </si>
  <si>
    <t>Comision</t>
  </si>
  <si>
    <t>Comision Mixta</t>
  </si>
  <si>
    <t>Neto A pagar</t>
  </si>
  <si>
    <t>TOTAL GASTO</t>
  </si>
  <si>
    <t>SNP</t>
  </si>
  <si>
    <t xml:space="preserve">Total Dscto </t>
  </si>
  <si>
    <t>ESSALUD 9%</t>
  </si>
  <si>
    <t>MANO DE OBRA INDIRECTA</t>
  </si>
  <si>
    <t>B. COSTOS DE VENTAS(csto productivos.csto directos)</t>
  </si>
  <si>
    <t>MESA</t>
  </si>
  <si>
    <t>GUANTES</t>
  </si>
  <si>
    <t>MANDILES</t>
  </si>
  <si>
    <t>MASCARILLAS</t>
  </si>
  <si>
    <t>EXTINTOR CONTRA INCENDIOS</t>
  </si>
  <si>
    <t>BALANZA</t>
  </si>
  <si>
    <t>Global</t>
  </si>
  <si>
    <t>PATENTE DE MARCA</t>
  </si>
  <si>
    <t>Gerente</t>
  </si>
  <si>
    <t>MENSUAL</t>
  </si>
  <si>
    <t>Planilla de Empleados (Gerente)</t>
  </si>
  <si>
    <t>Presupuesto Unitario ( C.V)</t>
  </si>
  <si>
    <t>COSTO DEL  PRODUCTO</t>
  </si>
  <si>
    <t xml:space="preserve">Inversion Fija </t>
  </si>
  <si>
    <t>Capital de Trabajo</t>
  </si>
  <si>
    <t>Mes</t>
  </si>
  <si>
    <t>COK=</t>
  </si>
  <si>
    <t>DIAS</t>
  </si>
  <si>
    <t>(1)</t>
  </si>
  <si>
    <t>(2)</t>
  </si>
  <si>
    <t>(3)</t>
  </si>
  <si>
    <t xml:space="preserve">TIRE </t>
  </si>
  <si>
    <t xml:space="preserve">VANE </t>
  </si>
  <si>
    <t>HALLANDO PUNTO EQUILIBRIO</t>
  </si>
  <si>
    <t>C.F</t>
  </si>
  <si>
    <t>PUNTO EQUILIBRIO</t>
  </si>
  <si>
    <t>M.C</t>
  </si>
  <si>
    <t>Aporte Propio</t>
  </si>
  <si>
    <t>Prod.Mensual</t>
  </si>
  <si>
    <t>Impuesto a la Renta (30%)</t>
  </si>
  <si>
    <t xml:space="preserve">C.O.K  7.16% </t>
  </si>
  <si>
    <t>PERIODO DE RECUPERACION DE LA INVERSION</t>
  </si>
  <si>
    <t>FORMULA DE DEPRECIACION</t>
  </si>
  <si>
    <t>GRATIFICACION</t>
  </si>
  <si>
    <t>PRODUCTO</t>
  </si>
  <si>
    <t>CAPITAL TRABAJO</t>
  </si>
  <si>
    <t>C.F = G.VTAS + G.ADM. + CST. IND.</t>
  </si>
  <si>
    <t>CT</t>
  </si>
  <si>
    <t>CFU</t>
  </si>
  <si>
    <t>D</t>
  </si>
  <si>
    <t>ANALISIS DE P. E</t>
  </si>
  <si>
    <t>CTU</t>
  </si>
  <si>
    <t>C.F.U.</t>
  </si>
  <si>
    <t>C.F. U. ( 50 FSCOS)</t>
  </si>
  <si>
    <t>C. F.( MENSUAL)</t>
  </si>
  <si>
    <t>PV.=</t>
  </si>
  <si>
    <t>GANANCIA</t>
  </si>
  <si>
    <t>Muebles y Enseres</t>
  </si>
  <si>
    <t>P.E. X DIA(COSTO VARIABLE)</t>
  </si>
  <si>
    <t>C.M.(GANANCIA</t>
  </si>
  <si>
    <t>P.V.</t>
  </si>
  <si>
    <t>C.T.V.(50)</t>
  </si>
  <si>
    <t>VALOR RESIDUAL</t>
  </si>
  <si>
    <t>NUMERO DE AÑOS ( VIDA UTIL)</t>
  </si>
  <si>
    <t>EXTINTOR</t>
  </si>
  <si>
    <t>BOTIQUIN</t>
  </si>
  <si>
    <t>A. VENTAS NETAS ( INGRESOS)</t>
  </si>
  <si>
    <t>GRATIFICACION MENSUAL</t>
  </si>
  <si>
    <t>Publicidad( volantes)</t>
  </si>
  <si>
    <t>C.V.T.(X DIA)</t>
  </si>
  <si>
    <t>C.V.U.</t>
  </si>
  <si>
    <t xml:space="preserve">TOTAL </t>
  </si>
  <si>
    <t>COSTOS VARIABLES</t>
  </si>
  <si>
    <t>M  PONDERADO</t>
  </si>
  <si>
    <t>CV( mensuales de P.E)</t>
  </si>
  <si>
    <t>C.F.T.( Mensuales)</t>
  </si>
  <si>
    <t>PRESUPUESTO ANUAL</t>
  </si>
  <si>
    <t xml:space="preserve">  ANUAL</t>
  </si>
  <si>
    <t>Gastos Financieros( intereses)</t>
  </si>
  <si>
    <t>C.T.U (50)  "diario"</t>
  </si>
  <si>
    <r>
      <t>C.T.U (</t>
    </r>
    <r>
      <rPr>
        <sz val="11"/>
        <color rgb="FFFF0000"/>
        <rFont val="Calibri"/>
        <family val="2"/>
        <scheme val="minor"/>
      </rPr>
      <t xml:space="preserve"> C. F + C . V</t>
    </r>
    <r>
      <rPr>
        <sz val="11"/>
        <color theme="1"/>
        <rFont val="Calibri"/>
        <family val="2"/>
        <scheme val="minor"/>
      </rPr>
      <t>) X  P.E.Diario)</t>
    </r>
  </si>
  <si>
    <t>P. E ( DIA) unidades</t>
  </si>
  <si>
    <t>P.E( UNIDADES) Mes</t>
  </si>
  <si>
    <t>UTILIDAD BRUTA     =</t>
  </si>
  <si>
    <t xml:space="preserve">UTILIDAD ANTES DE IMPUESTOS = </t>
  </si>
  <si>
    <t>¨´´´´</t>
  </si>
  <si>
    <t xml:space="preserve">UTILIDAD OPERACIÓN  = </t>
  </si>
  <si>
    <t>UTILIDAD NETA=</t>
  </si>
  <si>
    <t>INGRESOS  -  EGRESOS</t>
  </si>
  <si>
    <t>UTIL. BRUTA -  ADMINISTRACION - VENTAS</t>
  </si>
  <si>
    <t>UTILIDAD DE  OPERACIÓN  -  GASTOS FINANCIEROS - DEPRECIACION</t>
  </si>
  <si>
    <t>UTILIDAD ANTES DE IMPUESTOS  -  IMPUESTO A LA RENTA</t>
  </si>
  <si>
    <t>TOTALES</t>
  </si>
  <si>
    <t xml:space="preserve">Gastos Administrativos </t>
  </si>
  <si>
    <t xml:space="preserve">Costos de Producción </t>
  </si>
  <si>
    <t xml:space="preserve"> BENEFICIOS ACTUALIZADOS</t>
  </si>
  <si>
    <t>OPERACIÓN AUXILIAR</t>
  </si>
  <si>
    <t>TOTAL DEL ACTIVO</t>
  </si>
  <si>
    <t xml:space="preserve">INVERSION  - </t>
  </si>
  <si>
    <t>INGRESOS MENSUALES DEL PUNTO EQUILIBRIO</t>
  </si>
  <si>
    <t>OPTIMA STEAMER DMF</t>
  </si>
  <si>
    <t>PAQUETES DE TRAPEADORES DE MICROFIBRA 20 HOJAS</t>
  </si>
  <si>
    <t>COMPUTADORA</t>
  </si>
  <si>
    <t>IMPRESORA</t>
  </si>
  <si>
    <t>ESCRITORIO</t>
  </si>
  <si>
    <t>TELEVISOR</t>
  </si>
  <si>
    <t>RADIO DE MUSICA</t>
  </si>
  <si>
    <t>ASPIRADORA</t>
  </si>
  <si>
    <t xml:space="preserve">PAGO </t>
  </si>
  <si>
    <t>SERV.Diaria</t>
  </si>
  <si>
    <t>SERV. Anual</t>
  </si>
  <si>
    <t>COSTO DEL SERVICIO CARWASH</t>
  </si>
  <si>
    <t>COSTOS DE SERVICIO</t>
  </si>
  <si>
    <t>Sueldos  DE COLABORADORES</t>
  </si>
  <si>
    <t>Reposicion de implementos en el servicio</t>
  </si>
  <si>
    <t>TELEFONO</t>
  </si>
  <si>
    <t xml:space="preserve">SILLA DE ESPERA </t>
  </si>
  <si>
    <t xml:space="preserve">SILLA CON MANUBRIO </t>
  </si>
  <si>
    <t xml:space="preserve">SILLA GERENCIAL </t>
  </si>
  <si>
    <t xml:space="preserve">AIRE ACONDICIONADO </t>
  </si>
  <si>
    <t xml:space="preserve">RADIOS WALKIE  TALKIE </t>
  </si>
  <si>
    <t xml:space="preserve">LECTOR DE TARJETA DE CREDITO </t>
  </si>
  <si>
    <t xml:space="preserve">PERMISO DE BOMBEROS </t>
  </si>
  <si>
    <t>DEMANDA ANUAL</t>
  </si>
  <si>
    <t xml:space="preserve">DEMANDA DIARIA </t>
  </si>
  <si>
    <t>INGRESO ANUAL</t>
  </si>
  <si>
    <t>INGRESO MENSUAL PROMEDIO</t>
  </si>
  <si>
    <t>DEMANDA PROMEDIO MENSUAL</t>
  </si>
  <si>
    <t>AÑO 1</t>
  </si>
  <si>
    <t>Demanda Proyectada</t>
  </si>
  <si>
    <t>cantidad</t>
  </si>
  <si>
    <t>Año 1</t>
  </si>
  <si>
    <t>Año 2</t>
  </si>
  <si>
    <t>Año 3</t>
  </si>
  <si>
    <t>Año 4</t>
  </si>
  <si>
    <t>Año 5</t>
  </si>
  <si>
    <t>Radio</t>
  </si>
  <si>
    <t>SERVICIO</t>
  </si>
  <si>
    <t>Telefono</t>
  </si>
  <si>
    <t xml:space="preserve">COMPUTADORA </t>
  </si>
  <si>
    <t xml:space="preserve">MESA </t>
  </si>
  <si>
    <t>En conclusión :</t>
  </si>
  <si>
    <t>Trabajador  (Obrero)</t>
  </si>
  <si>
    <t>costos fijos</t>
  </si>
  <si>
    <t>precio</t>
  </si>
  <si>
    <t>costos variables</t>
  </si>
  <si>
    <t>PE</t>
  </si>
  <si>
    <t>utilidades</t>
  </si>
  <si>
    <t>Servicio de Internet, teléfono etc</t>
  </si>
  <si>
    <t>OPERARIO</t>
  </si>
  <si>
    <t>AGUA</t>
  </si>
  <si>
    <t>INSUMOS EN GENERAL</t>
  </si>
  <si>
    <t>ELECTRICIDAD</t>
  </si>
  <si>
    <t xml:space="preserve">VENTAS </t>
  </si>
  <si>
    <t>UTILIDAD</t>
  </si>
  <si>
    <t>SILLA CON MANOBRIA</t>
  </si>
  <si>
    <t>cantidad mensual</t>
  </si>
  <si>
    <t>Elaboración deL SERVICIO DE LAVADO DEL AUTO</t>
  </si>
  <si>
    <t xml:space="preserve">PROYECCION DE SERVICIOS REALIZADOS </t>
  </si>
  <si>
    <t>Precio del SERVICIO</t>
  </si>
  <si>
    <t>7.2% (cok)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</si>
</sst>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8" formatCode="&quot;S/.&quot;\ #,##0.00;[Red]&quot;S/.&quot;\ \-#,##0.00"/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&quot;S/.&quot;\ #,##0.00"/>
    <numFmt numFmtId="165" formatCode="0.000"/>
    <numFmt numFmtId="166" formatCode="0.0000"/>
    <numFmt numFmtId="167" formatCode="0.0%"/>
    <numFmt numFmtId="168" formatCode="0.0"/>
    <numFmt numFmtId="169" formatCode="&quot;S/.&quot;#,##0.00"/>
    <numFmt numFmtId="170" formatCode="0.00000"/>
    <numFmt numFmtId="171" formatCode="0.00000000"/>
    <numFmt numFmtId="172" formatCode="_ * #,##0.0000_ ;_ * \-#,##0.0000_ ;_ * &quot;-&quot;??_ ;_ @_ "/>
    <numFmt numFmtId="173" formatCode="_ * #,##0_ ;_ * \-#,##0_ ;_ * &quot;-&quot;??_ ;_ @_ "/>
    <numFmt numFmtId="174" formatCode="&quot;S/.&quot;\ #,##0"/>
  </numFmts>
  <fonts count="73" x14ac:knownFonts="1">
    <font>
      <sz val="11"/>
      <color theme="1"/>
      <name val="Calibri"/>
      <family val="2"/>
      <scheme val="minor"/>
    </font>
    <font>
      <b/>
      <sz val="8"/>
      <name val="Book Antiqua"/>
      <family val="1"/>
    </font>
    <font>
      <sz val="8"/>
      <name val="Book Antiqua"/>
      <family val="1"/>
    </font>
    <font>
      <sz val="10"/>
      <name val="Book Antiqua"/>
      <family val="1"/>
    </font>
    <font>
      <b/>
      <sz val="10"/>
      <name val="Book Antiqua"/>
      <family val="1"/>
    </font>
    <font>
      <b/>
      <sz val="11"/>
      <name val="Book Antiqua"/>
      <family val="1"/>
    </font>
    <font>
      <b/>
      <sz val="12"/>
      <name val="Book Antiqua"/>
      <family val="1"/>
    </font>
    <font>
      <sz val="11"/>
      <name val="Book Antiqua"/>
      <family val="1"/>
    </font>
    <font>
      <b/>
      <sz val="16"/>
      <name val="Book Antiqua"/>
      <family val="1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9"/>
      <name val="Book Antiqua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sz val="9"/>
      <color theme="1"/>
      <name val="Book Antiqua"/>
      <family val="1"/>
    </font>
    <font>
      <sz val="8"/>
      <color theme="1"/>
      <name val="Book Antiqua"/>
      <family val="1"/>
    </font>
    <font>
      <b/>
      <sz val="8"/>
      <color theme="1"/>
      <name val="Book Antiqua"/>
      <family val="1"/>
    </font>
    <font>
      <sz val="8"/>
      <color rgb="FF000000"/>
      <name val="Book Antiqua"/>
      <family val="1"/>
    </font>
    <font>
      <b/>
      <sz val="8"/>
      <color rgb="FF000000"/>
      <name val="Book Antiqua"/>
      <family val="1"/>
    </font>
    <font>
      <b/>
      <sz val="9"/>
      <color theme="1"/>
      <name val="Book Antiqua"/>
      <family val="1"/>
    </font>
    <font>
      <b/>
      <sz val="16"/>
      <color theme="0"/>
      <name val="Book Antiqua"/>
      <family val="1"/>
    </font>
    <font>
      <sz val="11"/>
      <color rgb="FF000000"/>
      <name val="Arial"/>
      <family val="2"/>
    </font>
    <font>
      <sz val="8"/>
      <color rgb="FFFF0000"/>
      <name val="Book Antiqua"/>
      <family val="1"/>
    </font>
    <font>
      <b/>
      <i/>
      <sz val="20"/>
      <color rgb="FFC00000"/>
      <name val="Book Antiqua"/>
      <family val="1"/>
    </font>
    <font>
      <b/>
      <sz val="16"/>
      <color rgb="FFC00000"/>
      <name val="Book Antiqua"/>
      <family val="1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8"/>
      <color rgb="FFFF0000"/>
      <name val="Book Antiqua"/>
      <family val="1"/>
    </font>
    <font>
      <sz val="10"/>
      <color theme="1"/>
      <name val="Book Antiqua"/>
      <family val="1"/>
    </font>
    <font>
      <b/>
      <sz val="11"/>
      <color theme="1"/>
      <name val="Arial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theme="1"/>
      <name val="Arial"/>
      <family val="2"/>
    </font>
    <font>
      <b/>
      <sz val="11"/>
      <color rgb="FFFFFFFF"/>
      <name val="Book Antiqua"/>
      <family val="1"/>
    </font>
    <font>
      <sz val="9"/>
      <color theme="1"/>
      <name val="Arial"/>
      <family val="2"/>
    </font>
    <font>
      <sz val="1"/>
      <color theme="1"/>
      <name val="Book Antiqua"/>
      <family val="1"/>
    </font>
    <font>
      <sz val="16"/>
      <color rgb="FFFFFF00"/>
      <name val="Algerian"/>
      <family val="5"/>
    </font>
    <font>
      <sz val="8"/>
      <name val="Calibri"/>
      <family val="2"/>
      <scheme val="minor"/>
    </font>
    <font>
      <sz val="8"/>
      <color rgb="FFC00000"/>
      <name val="Book Antiqua"/>
      <family val="1"/>
    </font>
    <font>
      <b/>
      <sz val="14"/>
      <color rgb="FFFF0000"/>
      <name val="Book Antiqua"/>
      <family val="1"/>
    </font>
    <font>
      <b/>
      <sz val="12"/>
      <color rgb="FFFF0000"/>
      <name val="Book Antiqua"/>
      <family val="1"/>
    </font>
    <font>
      <sz val="8"/>
      <color rgb="FFFFFFFF"/>
      <name val="Book Antiqua"/>
      <family val="1"/>
    </font>
    <font>
      <sz val="12"/>
      <color theme="1"/>
      <name val="Book Antiqua"/>
      <family val="1"/>
    </font>
    <font>
      <b/>
      <sz val="9"/>
      <name val="Book Antiqua"/>
      <family val="1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6"/>
      <color rgb="FF000000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Arial"/>
      <family val="2"/>
    </font>
    <font>
      <sz val="14"/>
      <color rgb="FFFF0000"/>
      <name val="Calibri"/>
      <family val="2"/>
      <scheme val="minor"/>
    </font>
    <font>
      <sz val="10"/>
      <color theme="0"/>
      <name val="Book Antiqua"/>
      <family val="1"/>
    </font>
    <font>
      <sz val="10"/>
      <color rgb="FF00B0F0"/>
      <name val="Book Antiqua"/>
      <family val="1"/>
    </font>
    <font>
      <b/>
      <sz val="10"/>
      <color rgb="FF00B0F0"/>
      <name val="Book Antiqua"/>
      <family val="1"/>
    </font>
    <font>
      <b/>
      <sz val="14"/>
      <color theme="1"/>
      <name val="Calibri"/>
      <family val="2"/>
      <scheme val="minor"/>
    </font>
    <font>
      <sz val="12"/>
      <color rgb="FFFF0000"/>
      <name val="Book Antiqua"/>
      <family val="1"/>
    </font>
    <font>
      <sz val="7"/>
      <color rgb="FFFF0000"/>
      <name val="Book Antiqua"/>
      <family val="1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6906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DCFB25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652">
    <xf numFmtId="0" fontId="0" fillId="0" borderId="0" xfId="0"/>
    <xf numFmtId="0" fontId="14" fillId="0" borderId="0" xfId="0" applyFo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/>
    </xf>
    <xf numFmtId="0" fontId="2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left" vertical="center"/>
    </xf>
    <xf numFmtId="0" fontId="3" fillId="0" borderId="0" xfId="0" applyFont="1" applyAlignment="1"/>
    <xf numFmtId="0" fontId="2" fillId="0" borderId="0" xfId="0" applyFont="1" applyFill="1"/>
    <xf numFmtId="0" fontId="2" fillId="0" borderId="0" xfId="0" applyFont="1" applyFill="1" applyAlignment="1">
      <alignment horizontal="right"/>
    </xf>
    <xf numFmtId="164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right"/>
    </xf>
    <xf numFmtId="164" fontId="3" fillId="0" borderId="3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/>
    <xf numFmtId="0" fontId="15" fillId="0" borderId="1" xfId="0" applyFont="1" applyBorder="1"/>
    <xf numFmtId="0" fontId="16" fillId="0" borderId="1" xfId="0" applyFont="1" applyBorder="1"/>
    <xf numFmtId="165" fontId="16" fillId="0" borderId="1" xfId="0" applyNumberFormat="1" applyFont="1" applyBorder="1" applyAlignment="1">
      <alignment horizontal="center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3" fontId="16" fillId="0" borderId="0" xfId="0" applyNumberFormat="1" applyFont="1" applyAlignment="1">
      <alignment horizontal="center"/>
    </xf>
    <xf numFmtId="0" fontId="16" fillId="0" borderId="0" xfId="0" applyFont="1" applyAlignment="1">
      <alignment vertical="center" wrapText="1"/>
    </xf>
    <xf numFmtId="164" fontId="15" fillId="0" borderId="1" xfId="0" applyNumberFormat="1" applyFont="1" applyBorder="1"/>
    <xf numFmtId="9" fontId="15" fillId="0" borderId="1" xfId="0" applyNumberFormat="1" applyFont="1" applyBorder="1"/>
    <xf numFmtId="164" fontId="16" fillId="0" borderId="0" xfId="0" applyNumberFormat="1" applyFont="1"/>
    <xf numFmtId="2" fontId="16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1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0" fontId="1" fillId="0" borderId="1" xfId="0" applyFont="1" applyFill="1" applyBorder="1" applyAlignment="1"/>
    <xf numFmtId="0" fontId="2" fillId="0" borderId="1" xfId="0" applyFont="1" applyFill="1" applyBorder="1" applyAlignment="1"/>
    <xf numFmtId="164" fontId="1" fillId="0" borderId="1" xfId="0" applyNumberFormat="1" applyFont="1" applyBorder="1" applyAlignment="1">
      <alignment horizontal="right"/>
    </xf>
    <xf numFmtId="0" fontId="16" fillId="0" borderId="0" xfId="0" applyFont="1" applyFill="1"/>
    <xf numFmtId="0" fontId="1" fillId="0" borderId="0" xfId="0" applyFont="1" applyFill="1"/>
    <xf numFmtId="1" fontId="1" fillId="0" borderId="0" xfId="0" applyNumberFormat="1" applyFont="1" applyFill="1"/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0" xfId="0" applyFont="1" applyFill="1" applyBorder="1" applyAlignment="1"/>
    <xf numFmtId="0" fontId="2" fillId="0" borderId="0" xfId="0" applyFont="1" applyFill="1" applyBorder="1"/>
    <xf numFmtId="0" fontId="16" fillId="7" borderId="1" xfId="0" applyFont="1" applyFill="1" applyBorder="1" applyAlignment="1">
      <alignment horizontal="center"/>
    </xf>
    <xf numFmtId="166" fontId="16" fillId="7" borderId="1" xfId="0" applyNumberFormat="1" applyFont="1" applyFill="1" applyBorder="1"/>
    <xf numFmtId="0" fontId="16" fillId="7" borderId="0" xfId="0" applyFont="1" applyFill="1"/>
    <xf numFmtId="0" fontId="1" fillId="0" borderId="1" xfId="0" applyFont="1" applyFill="1" applyBorder="1"/>
    <xf numFmtId="2" fontId="1" fillId="0" borderId="1" xfId="0" applyNumberFormat="1" applyFont="1" applyFill="1" applyBorder="1"/>
    <xf numFmtId="0" fontId="1" fillId="0" borderId="1" xfId="3" applyNumberFormat="1" applyFont="1" applyFill="1" applyBorder="1"/>
    <xf numFmtId="165" fontId="1" fillId="0" borderId="1" xfId="0" applyNumberFormat="1" applyFont="1" applyFill="1" applyBorder="1"/>
    <xf numFmtId="2" fontId="1" fillId="0" borderId="0" xfId="0" applyNumberFormat="1" applyFont="1" applyFill="1" applyBorder="1"/>
    <xf numFmtId="0" fontId="1" fillId="0" borderId="0" xfId="0" applyFont="1" applyFill="1" applyAlignment="1">
      <alignment horizontal="left"/>
    </xf>
    <xf numFmtId="0" fontId="14" fillId="0" borderId="0" xfId="0" applyFont="1" applyAlignment="1">
      <alignment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164" fontId="16" fillId="0" borderId="0" xfId="0" applyNumberFormat="1" applyFont="1" applyAlignment="1">
      <alignment horizontal="center"/>
    </xf>
    <xf numFmtId="164" fontId="2" fillId="0" borderId="2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164" fontId="16" fillId="7" borderId="1" xfId="0" applyNumberFormat="1" applyFont="1" applyFill="1" applyBorder="1"/>
    <xf numFmtId="0" fontId="21" fillId="0" borderId="0" xfId="0" applyFont="1" applyFill="1"/>
    <xf numFmtId="164" fontId="1" fillId="7" borderId="1" xfId="0" applyNumberFormat="1" applyFont="1" applyFill="1" applyBorder="1" applyAlignment="1">
      <alignment horizontal="right"/>
    </xf>
    <xf numFmtId="164" fontId="16" fillId="7" borderId="1" xfId="0" applyNumberFormat="1" applyFont="1" applyFill="1" applyBorder="1" applyAlignment="1">
      <alignment horizontal="right"/>
    </xf>
    <xf numFmtId="164" fontId="2" fillId="7" borderId="1" xfId="0" applyNumberFormat="1" applyFont="1" applyFill="1" applyBorder="1" applyAlignment="1">
      <alignment horizontal="right"/>
    </xf>
    <xf numFmtId="164" fontId="2" fillId="7" borderId="1" xfId="0" applyNumberFormat="1" applyFont="1" applyFill="1" applyBorder="1" applyAlignment="1"/>
    <xf numFmtId="164" fontId="2" fillId="7" borderId="2" xfId="0" applyNumberFormat="1" applyFont="1" applyFill="1" applyBorder="1" applyAlignment="1">
      <alignment horizontal="center" vertical="center"/>
    </xf>
    <xf numFmtId="164" fontId="2" fillId="7" borderId="1" xfId="0" applyNumberFormat="1" applyFont="1" applyFill="1" applyBorder="1" applyAlignment="1">
      <alignment horizontal="center" vertical="center"/>
    </xf>
    <xf numFmtId="0" fontId="23" fillId="0" borderId="0" xfId="0" applyFont="1"/>
    <xf numFmtId="164" fontId="23" fillId="0" borderId="0" xfId="0" applyNumberFormat="1" applyFont="1"/>
    <xf numFmtId="0" fontId="24" fillId="0" borderId="0" xfId="0" applyFont="1" applyFill="1"/>
    <xf numFmtId="0" fontId="8" fillId="0" borderId="0" xfId="0" applyFont="1" applyFill="1"/>
    <xf numFmtId="0" fontId="21" fillId="0" borderId="0" xfId="0" applyFont="1" applyFill="1" applyAlignment="1">
      <alignment horizontal="left"/>
    </xf>
    <xf numFmtId="0" fontId="25" fillId="0" borderId="0" xfId="0" applyFont="1" applyFill="1" applyAlignment="1">
      <alignment horizontal="left"/>
    </xf>
    <xf numFmtId="0" fontId="1" fillId="9" borderId="1" xfId="0" applyFont="1" applyFill="1" applyBorder="1" applyAlignment="1">
      <alignment horizontal="left" vertical="center" wrapText="1"/>
    </xf>
    <xf numFmtId="164" fontId="3" fillId="9" borderId="1" xfId="0" applyNumberFormat="1" applyFont="1" applyFill="1" applyBorder="1" applyAlignment="1">
      <alignment horizontal="right"/>
    </xf>
    <xf numFmtId="0" fontId="3" fillId="9" borderId="1" xfId="0" applyFont="1" applyFill="1" applyBorder="1" applyAlignment="1">
      <alignment horizontal="center"/>
    </xf>
    <xf numFmtId="164" fontId="4" fillId="9" borderId="1" xfId="0" applyNumberFormat="1" applyFont="1" applyFill="1" applyBorder="1" applyAlignment="1">
      <alignment horizontal="center"/>
    </xf>
    <xf numFmtId="2" fontId="3" fillId="9" borderId="1" xfId="0" applyNumberFormat="1" applyFont="1" applyFill="1" applyBorder="1" applyAlignment="1">
      <alignment horizontal="right"/>
    </xf>
    <xf numFmtId="0" fontId="1" fillId="10" borderId="3" xfId="0" applyFont="1" applyFill="1" applyBorder="1" applyAlignment="1">
      <alignment horizontal="left" vertical="center" wrapText="1"/>
    </xf>
    <xf numFmtId="0" fontId="3" fillId="10" borderId="3" xfId="0" applyFont="1" applyFill="1" applyBorder="1" applyAlignment="1">
      <alignment horizontal="right"/>
    </xf>
    <xf numFmtId="0" fontId="3" fillId="10" borderId="3" xfId="0" applyFont="1" applyFill="1" applyBorder="1" applyAlignment="1">
      <alignment horizontal="center"/>
    </xf>
    <xf numFmtId="164" fontId="4" fillId="10" borderId="3" xfId="0" applyNumberFormat="1" applyFont="1" applyFill="1" applyBorder="1" applyAlignment="1">
      <alignment horizontal="center"/>
    </xf>
    <xf numFmtId="0" fontId="1" fillId="7" borderId="9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right"/>
    </xf>
    <xf numFmtId="0" fontId="3" fillId="7" borderId="10" xfId="0" applyFont="1" applyFill="1" applyBorder="1" applyAlignment="1">
      <alignment horizontal="center"/>
    </xf>
    <xf numFmtId="164" fontId="4" fillId="7" borderId="10" xfId="0" applyNumberFormat="1" applyFont="1" applyFill="1" applyBorder="1" applyAlignment="1">
      <alignment horizontal="center"/>
    </xf>
    <xf numFmtId="0" fontId="1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right"/>
    </xf>
    <xf numFmtId="0" fontId="3" fillId="7" borderId="1" xfId="0" applyFont="1" applyFill="1" applyBorder="1" applyAlignment="1">
      <alignment horizontal="center"/>
    </xf>
    <xf numFmtId="164" fontId="4" fillId="7" borderId="1" xfId="0" applyNumberFormat="1" applyFont="1" applyFill="1" applyBorder="1" applyAlignment="1">
      <alignment horizontal="center"/>
    </xf>
    <xf numFmtId="0" fontId="1" fillId="10" borderId="1" xfId="0" applyFont="1" applyFill="1" applyBorder="1" applyAlignment="1">
      <alignment horizontal="left" vertical="center" wrapText="1"/>
    </xf>
    <xf numFmtId="0" fontId="3" fillId="10" borderId="1" xfId="0" applyFont="1" applyFill="1" applyBorder="1" applyAlignment="1">
      <alignment horizontal="right"/>
    </xf>
    <xf numFmtId="0" fontId="3" fillId="10" borderId="1" xfId="0" applyFon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/>
    </xf>
    <xf numFmtId="164" fontId="2" fillId="9" borderId="1" xfId="0" applyNumberFormat="1" applyFont="1" applyFill="1" applyBorder="1"/>
    <xf numFmtId="0" fontId="2" fillId="9" borderId="1" xfId="0" applyFont="1" applyFill="1" applyBorder="1" applyAlignment="1">
      <alignment horizontal="center"/>
    </xf>
    <xf numFmtId="0" fontId="3" fillId="9" borderId="1" xfId="0" applyFont="1" applyFill="1" applyBorder="1"/>
    <xf numFmtId="164" fontId="4" fillId="9" borderId="1" xfId="0" applyNumberFormat="1" applyFont="1" applyFill="1" applyBorder="1" applyAlignment="1">
      <alignment horizontal="right"/>
    </xf>
    <xf numFmtId="164" fontId="5" fillId="9" borderId="1" xfId="0" applyNumberFormat="1" applyFont="1" applyFill="1" applyBorder="1"/>
    <xf numFmtId="0" fontId="5" fillId="9" borderId="2" xfId="0" applyFont="1" applyFill="1" applyBorder="1" applyAlignment="1">
      <alignment horizontal="left" vertical="center" wrapText="1"/>
    </xf>
    <xf numFmtId="0" fontId="5" fillId="9" borderId="1" xfId="0" applyFont="1" applyFill="1" applyBorder="1" applyAlignment="1">
      <alignment horizontal="left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/>
    <xf numFmtId="164" fontId="20" fillId="9" borderId="1" xfId="0" applyNumberFormat="1" applyFont="1" applyFill="1" applyBorder="1"/>
    <xf numFmtId="0" fontId="1" fillId="9" borderId="1" xfId="0" applyFont="1" applyFill="1" applyBorder="1" applyAlignment="1">
      <alignment horizontal="center" vertical="center"/>
    </xf>
    <xf numFmtId="44" fontId="1" fillId="0" borderId="1" xfId="2" applyFont="1" applyFill="1" applyBorder="1"/>
    <xf numFmtId="0" fontId="19" fillId="12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 wrapText="1"/>
    </xf>
    <xf numFmtId="0" fontId="17" fillId="9" borderId="1" xfId="0" applyFont="1" applyFill="1" applyBorder="1"/>
    <xf numFmtId="164" fontId="17" fillId="9" borderId="1" xfId="0" applyNumberFormat="1" applyFont="1" applyFill="1" applyBorder="1"/>
    <xf numFmtId="0" fontId="17" fillId="13" borderId="3" xfId="0" applyFont="1" applyFill="1" applyBorder="1"/>
    <xf numFmtId="0" fontId="26" fillId="13" borderId="3" xfId="0" applyFont="1" applyFill="1" applyBorder="1" applyAlignment="1">
      <alignment horizontal="center"/>
    </xf>
    <xf numFmtId="2" fontId="1" fillId="9" borderId="1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right"/>
    </xf>
    <xf numFmtId="0" fontId="1" fillId="9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left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left" vertical="center" wrapText="1"/>
    </xf>
    <xf numFmtId="0" fontId="17" fillId="14" borderId="1" xfId="0" applyFont="1" applyFill="1" applyBorder="1" applyAlignment="1">
      <alignment horizontal="center" vertical="center" wrapText="1"/>
    </xf>
    <xf numFmtId="164" fontId="17" fillId="14" borderId="1" xfId="0" applyNumberFormat="1" applyFont="1" applyFill="1" applyBorder="1" applyAlignment="1">
      <alignment horizontal="right" vertical="center" wrapText="1"/>
    </xf>
    <xf numFmtId="3" fontId="18" fillId="15" borderId="1" xfId="0" applyNumberFormat="1" applyFont="1" applyFill="1" applyBorder="1" applyAlignment="1">
      <alignment horizontal="right" vertical="center" wrapText="1"/>
    </xf>
    <xf numFmtId="0" fontId="2" fillId="15" borderId="1" xfId="0" applyFont="1" applyFill="1" applyBorder="1" applyAlignment="1">
      <alignment horizontal="right" vertical="center"/>
    </xf>
    <xf numFmtId="164" fontId="1" fillId="15" borderId="1" xfId="0" applyNumberFormat="1" applyFont="1" applyFill="1" applyBorder="1" applyAlignment="1">
      <alignment horizontal="right" vertical="center"/>
    </xf>
    <xf numFmtId="0" fontId="18" fillId="15" borderId="1" xfId="0" applyFont="1" applyFill="1" applyBorder="1" applyAlignment="1">
      <alignment horizontal="center" vertical="center" wrapText="1"/>
    </xf>
    <xf numFmtId="0" fontId="1" fillId="9" borderId="3" xfId="0" applyFont="1" applyFill="1" applyBorder="1" applyAlignment="1">
      <alignment horizontal="center" vertical="center" wrapText="1"/>
    </xf>
    <xf numFmtId="2" fontId="1" fillId="9" borderId="1" xfId="0" applyNumberFormat="1" applyFont="1" applyFill="1" applyBorder="1" applyAlignment="1"/>
    <xf numFmtId="0" fontId="1" fillId="9" borderId="1" xfId="0" applyFont="1" applyFill="1" applyBorder="1" applyAlignment="1">
      <alignment horizontal="left"/>
    </xf>
    <xf numFmtId="0" fontId="1" fillId="8" borderId="1" xfId="0" applyFont="1" applyFill="1" applyBorder="1" applyAlignment="1">
      <alignment horizontal="left"/>
    </xf>
    <xf numFmtId="0" fontId="16" fillId="13" borderId="1" xfId="0" applyFont="1" applyFill="1" applyBorder="1" applyAlignment="1">
      <alignment horizontal="left"/>
    </xf>
    <xf numFmtId="0" fontId="4" fillId="17" borderId="1" xfId="0" applyFont="1" applyFill="1" applyBorder="1"/>
    <xf numFmtId="14" fontId="1" fillId="9" borderId="3" xfId="0" applyNumberFormat="1" applyFont="1" applyFill="1" applyBorder="1" applyAlignment="1">
      <alignment horizontal="center" vertical="center" wrapText="1"/>
    </xf>
    <xf numFmtId="0" fontId="1" fillId="17" borderId="13" xfId="0" applyFont="1" applyFill="1" applyBorder="1" applyAlignment="1">
      <alignment horizontal="center" vertical="center"/>
    </xf>
    <xf numFmtId="0" fontId="1" fillId="17" borderId="13" xfId="0" applyFont="1" applyFill="1" applyBorder="1" applyAlignment="1">
      <alignment vertical="center"/>
    </xf>
    <xf numFmtId="0" fontId="1" fillId="17" borderId="14" xfId="0" applyFont="1" applyFill="1" applyBorder="1" applyAlignment="1">
      <alignment vertical="center"/>
    </xf>
    <xf numFmtId="164" fontId="1" fillId="17" borderId="14" xfId="0" applyNumberFormat="1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1" fillId="13" borderId="13" xfId="0" applyFont="1" applyFill="1" applyBorder="1" applyAlignment="1">
      <alignment vertical="center"/>
    </xf>
    <xf numFmtId="0" fontId="1" fillId="13" borderId="14" xfId="0" applyFont="1" applyFill="1" applyBorder="1" applyAlignment="1">
      <alignment vertical="center"/>
    </xf>
    <xf numFmtId="164" fontId="7" fillId="13" borderId="14" xfId="0" applyNumberFormat="1" applyFont="1" applyFill="1" applyBorder="1" applyAlignment="1">
      <alignment horizontal="center"/>
    </xf>
    <xf numFmtId="164" fontId="1" fillId="13" borderId="14" xfId="0" applyNumberFormat="1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vertical="center"/>
    </xf>
    <xf numFmtId="164" fontId="1" fillId="15" borderId="1" xfId="0" applyNumberFormat="1" applyFont="1" applyFill="1" applyBorder="1" applyAlignment="1">
      <alignment horizontal="center" vertical="center"/>
    </xf>
    <xf numFmtId="0" fontId="1" fillId="13" borderId="13" xfId="0" applyFont="1" applyFill="1" applyBorder="1" applyAlignment="1">
      <alignment horizontal="center" vertical="center"/>
    </xf>
    <xf numFmtId="0" fontId="1" fillId="13" borderId="14" xfId="0" applyFont="1" applyFill="1" applyBorder="1" applyAlignment="1">
      <alignment horizontal="center" vertical="center"/>
    </xf>
    <xf numFmtId="164" fontId="1" fillId="9" borderId="1" xfId="0" applyNumberFormat="1" applyFont="1" applyFill="1" applyBorder="1" applyAlignment="1">
      <alignment horizontal="right"/>
    </xf>
    <xf numFmtId="0" fontId="16" fillId="9" borderId="1" xfId="0" applyFont="1" applyFill="1" applyBorder="1" applyAlignment="1">
      <alignment horizontal="center" vertical="center" wrapText="1"/>
    </xf>
    <xf numFmtId="164" fontId="17" fillId="13" borderId="1" xfId="0" applyNumberFormat="1" applyFont="1" applyFill="1" applyBorder="1"/>
    <xf numFmtId="0" fontId="1" fillId="17" borderId="1" xfId="0" applyFont="1" applyFill="1" applyBorder="1" applyAlignment="1">
      <alignment horizontal="left" vertical="center" wrapText="1"/>
    </xf>
    <xf numFmtId="0" fontId="3" fillId="17" borderId="1" xfId="0" applyFont="1" applyFill="1" applyBorder="1" applyAlignment="1">
      <alignment horizontal="right"/>
    </xf>
    <xf numFmtId="0" fontId="3" fillId="17" borderId="1" xfId="0" applyFont="1" applyFill="1" applyBorder="1" applyAlignment="1">
      <alignment horizontal="center"/>
    </xf>
    <xf numFmtId="0" fontId="3" fillId="17" borderId="1" xfId="0" applyFont="1" applyFill="1" applyBorder="1"/>
    <xf numFmtId="0" fontId="1" fillId="18" borderId="13" xfId="0" applyFont="1" applyFill="1" applyBorder="1" applyAlignment="1">
      <alignment horizontal="center" vertical="center"/>
    </xf>
    <xf numFmtId="0" fontId="1" fillId="18" borderId="9" xfId="0" applyFont="1" applyFill="1" applyBorder="1" applyAlignment="1">
      <alignment vertical="center"/>
    </xf>
    <xf numFmtId="0" fontId="1" fillId="18" borderId="10" xfId="0" applyFont="1" applyFill="1" applyBorder="1" applyAlignment="1">
      <alignment vertical="center"/>
    </xf>
    <xf numFmtId="0" fontId="1" fillId="18" borderId="10" xfId="0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vertical="center"/>
    </xf>
    <xf numFmtId="164" fontId="1" fillId="18" borderId="3" xfId="0" applyNumberFormat="1" applyFont="1" applyFill="1" applyBorder="1" applyAlignment="1">
      <alignment horizontal="center" vertical="center"/>
    </xf>
    <xf numFmtId="164" fontId="1" fillId="18" borderId="10" xfId="0" applyNumberFormat="1" applyFont="1" applyFill="1" applyBorder="1" applyAlignment="1">
      <alignment horizontal="center" vertical="center"/>
    </xf>
    <xf numFmtId="0" fontId="24" fillId="0" borderId="16" xfId="0" applyFont="1" applyFill="1" applyBorder="1"/>
    <xf numFmtId="0" fontId="21" fillId="0" borderId="16" xfId="0" applyFont="1" applyFill="1" applyBorder="1"/>
    <xf numFmtId="0" fontId="21" fillId="0" borderId="16" xfId="0" applyFont="1" applyFill="1" applyBorder="1" applyAlignment="1">
      <alignment horizontal="left"/>
    </xf>
    <xf numFmtId="0" fontId="25" fillId="0" borderId="16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13" borderId="3" xfId="0" applyFont="1" applyFill="1" applyBorder="1" applyAlignment="1">
      <alignment vertical="center"/>
    </xf>
    <xf numFmtId="164" fontId="1" fillId="13" borderId="3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4" fillId="0" borderId="0" xfId="0" applyFont="1" applyFill="1"/>
    <xf numFmtId="164" fontId="2" fillId="7" borderId="1" xfId="0" applyNumberFormat="1" applyFont="1" applyFill="1" applyBorder="1" applyAlignment="1"/>
    <xf numFmtId="0" fontId="28" fillId="0" borderId="13" xfId="0" applyFont="1" applyBorder="1"/>
    <xf numFmtId="0" fontId="28" fillId="0" borderId="1" xfId="0" applyFont="1" applyBorder="1" applyAlignment="1">
      <alignment horizontal="center"/>
    </xf>
    <xf numFmtId="2" fontId="28" fillId="0" borderId="15" xfId="0" applyNumberFormat="1" applyFont="1" applyBorder="1" applyAlignment="1">
      <alignment horizontal="center"/>
    </xf>
    <xf numFmtId="2" fontId="28" fillId="0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0" xfId="0" applyNumberFormat="1"/>
    <xf numFmtId="0" fontId="13" fillId="0" borderId="1" xfId="0" applyFont="1" applyBorder="1" applyAlignment="1">
      <alignment horizontal="center"/>
    </xf>
    <xf numFmtId="9" fontId="13" fillId="0" borderId="1" xfId="3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2" fontId="13" fillId="0" borderId="0" xfId="0" applyNumberFormat="1" applyFont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1" fontId="13" fillId="0" borderId="0" xfId="0" applyNumberFormat="1" applyFont="1"/>
    <xf numFmtId="3" fontId="13" fillId="0" borderId="1" xfId="0" applyNumberFormat="1" applyFont="1" applyBorder="1" applyAlignment="1">
      <alignment horizontal="center"/>
    </xf>
    <xf numFmtId="2" fontId="0" fillId="0" borderId="0" xfId="0" applyNumberFormat="1"/>
    <xf numFmtId="0" fontId="13" fillId="0" borderId="0" xfId="0" applyFont="1"/>
    <xf numFmtId="0" fontId="13" fillId="0" borderId="0" xfId="0" applyFont="1" applyAlignment="1">
      <alignment horizontal="center"/>
    </xf>
    <xf numFmtId="2" fontId="13" fillId="0" borderId="0" xfId="0" applyNumberFormat="1" applyFont="1"/>
    <xf numFmtId="0" fontId="0" fillId="0" borderId="17" xfId="0" applyBorder="1"/>
    <xf numFmtId="2" fontId="0" fillId="0" borderId="18" xfId="0" applyNumberFormat="1" applyBorder="1"/>
    <xf numFmtId="164" fontId="15" fillId="0" borderId="0" xfId="0" applyNumberFormat="1" applyFont="1"/>
    <xf numFmtId="0" fontId="0" fillId="0" borderId="1" xfId="0" applyBorder="1"/>
    <xf numFmtId="0" fontId="0" fillId="0" borderId="6" xfId="0" applyBorder="1" applyAlignment="1">
      <alignment horizontal="center"/>
    </xf>
    <xf numFmtId="0" fontId="0" fillId="0" borderId="1" xfId="0" applyFill="1" applyBorder="1"/>
    <xf numFmtId="0" fontId="29" fillId="0" borderId="1" xfId="0" applyFont="1" applyBorder="1" applyAlignment="1">
      <alignment vertical="center"/>
    </xf>
    <xf numFmtId="0" fontId="19" fillId="9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3" fontId="18" fillId="15" borderId="1" xfId="0" applyNumberFormat="1" applyFont="1" applyFill="1" applyBorder="1" applyAlignment="1">
      <alignment horizontal="right" vertical="center" wrapText="1"/>
    </xf>
    <xf numFmtId="9" fontId="3" fillId="0" borderId="1" xfId="3" applyFont="1" applyBorder="1" applyAlignment="1">
      <alignment horizontal="right"/>
    </xf>
    <xf numFmtId="0" fontId="18" fillId="0" borderId="1" xfId="0" applyFont="1" applyBorder="1" applyAlignment="1">
      <alignment horizontal="center" vertical="center" wrapText="1"/>
    </xf>
    <xf numFmtId="9" fontId="3" fillId="0" borderId="1" xfId="3" applyFont="1" applyFill="1" applyBorder="1" applyAlignment="1">
      <alignment horizontal="right"/>
    </xf>
    <xf numFmtId="0" fontId="16" fillId="0" borderId="1" xfId="0" applyFont="1" applyFill="1" applyBorder="1" applyAlignment="1">
      <alignment horizontal="center"/>
    </xf>
    <xf numFmtId="167" fontId="12" fillId="0" borderId="1" xfId="3" applyNumberFormat="1" applyFont="1" applyBorder="1" applyAlignment="1">
      <alignment horizontal="center"/>
    </xf>
    <xf numFmtId="164" fontId="1" fillId="0" borderId="1" xfId="0" applyNumberFormat="1" applyFont="1" applyFill="1" applyBorder="1" applyAlignment="1"/>
    <xf numFmtId="168" fontId="15" fillId="0" borderId="0" xfId="0" applyNumberFormat="1" applyFont="1"/>
    <xf numFmtId="0" fontId="31" fillId="0" borderId="0" xfId="0" applyFont="1" applyFill="1" applyBorder="1" applyAlignment="1">
      <alignment horizontal="center" vertical="center"/>
    </xf>
    <xf numFmtId="43" fontId="12" fillId="0" borderId="19" xfId="1" applyFont="1" applyBorder="1"/>
    <xf numFmtId="8" fontId="0" fillId="0" borderId="19" xfId="0" applyNumberFormat="1" applyBorder="1"/>
    <xf numFmtId="2" fontId="0" fillId="3" borderId="0" xfId="0" applyNumberFormat="1" applyFill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2" fontId="9" fillId="0" borderId="1" xfId="0" applyNumberFormat="1" applyFont="1" applyBorder="1" applyAlignment="1">
      <alignment horizontal="right"/>
    </xf>
    <xf numFmtId="2" fontId="0" fillId="0" borderId="3" xfId="0" applyNumberFormat="1" applyBorder="1" applyAlignment="1">
      <alignment horizontal="center"/>
    </xf>
    <xf numFmtId="2" fontId="9" fillId="0" borderId="3" xfId="0" applyNumberFormat="1" applyFont="1" applyBorder="1" applyAlignment="1">
      <alignment horizontal="right"/>
    </xf>
    <xf numFmtId="2" fontId="0" fillId="0" borderId="2" xfId="0" applyNumberFormat="1" applyBorder="1" applyAlignment="1">
      <alignment horizontal="center"/>
    </xf>
    <xf numFmtId="2" fontId="10" fillId="0" borderId="2" xfId="0" applyNumberFormat="1" applyFont="1" applyBorder="1" applyAlignment="1">
      <alignment horizontal="right"/>
    </xf>
    <xf numFmtId="2" fontId="10" fillId="0" borderId="1" xfId="0" applyNumberFormat="1" applyFont="1" applyBorder="1" applyAlignment="1">
      <alignment horizontal="right"/>
    </xf>
    <xf numFmtId="164" fontId="32" fillId="17" borderId="1" xfId="0" applyNumberFormat="1" applyFont="1" applyFill="1" applyBorder="1" applyAlignment="1">
      <alignment horizontal="left"/>
    </xf>
    <xf numFmtId="0" fontId="16" fillId="0" borderId="1" xfId="0" applyFont="1" applyBorder="1" applyAlignment="1">
      <alignment horizontal="center"/>
    </xf>
    <xf numFmtId="0" fontId="22" fillId="7" borderId="15" xfId="0" applyFont="1" applyFill="1" applyBorder="1" applyAlignment="1">
      <alignment vertical="center" wrapText="1"/>
    </xf>
    <xf numFmtId="164" fontId="0" fillId="0" borderId="0" xfId="0" applyNumberFormat="1"/>
    <xf numFmtId="164" fontId="33" fillId="0" borderId="0" xfId="0" applyNumberFormat="1" applyFont="1"/>
    <xf numFmtId="168" fontId="0" fillId="0" borderId="1" xfId="0" applyNumberFormat="1" applyBorder="1" applyAlignment="1">
      <alignment horizontal="center"/>
    </xf>
    <xf numFmtId="164" fontId="11" fillId="0" borderId="0" xfId="0" applyNumberFormat="1" applyFont="1"/>
    <xf numFmtId="0" fontId="1" fillId="9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left" vertical="center" wrapText="1"/>
    </xf>
    <xf numFmtId="0" fontId="35" fillId="0" borderId="0" xfId="0" applyFont="1"/>
    <xf numFmtId="0" fontId="36" fillId="0" borderId="0" xfId="0" applyFont="1"/>
    <xf numFmtId="0" fontId="34" fillId="0" borderId="0" xfId="0" applyFont="1" applyAlignment="1">
      <alignment horizontal="justify"/>
    </xf>
    <xf numFmtId="0" fontId="37" fillId="0" borderId="0" xfId="0" applyFont="1" applyAlignment="1">
      <alignment horizontal="justify"/>
    </xf>
    <xf numFmtId="0" fontId="39" fillId="0" borderId="0" xfId="0" applyFont="1" applyAlignment="1">
      <alignment horizontal="center"/>
    </xf>
    <xf numFmtId="0" fontId="39" fillId="0" borderId="0" xfId="0" applyFont="1"/>
    <xf numFmtId="0" fontId="38" fillId="0" borderId="0" xfId="0" applyFont="1"/>
    <xf numFmtId="0" fontId="38" fillId="0" borderId="0" xfId="0" applyFont="1" applyAlignment="1">
      <alignment horizontal="right"/>
    </xf>
    <xf numFmtId="0" fontId="40" fillId="0" borderId="0" xfId="0" applyFont="1" applyAlignment="1">
      <alignment horizontal="justify"/>
    </xf>
    <xf numFmtId="0" fontId="16" fillId="0" borderId="0" xfId="0" applyFont="1" applyBorder="1"/>
    <xf numFmtId="0" fontId="8" fillId="0" borderId="16" xfId="0" applyFont="1" applyFill="1" applyBorder="1"/>
    <xf numFmtId="0" fontId="41" fillId="0" borderId="0" xfId="0" applyFont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9" fontId="16" fillId="0" borderId="0" xfId="0" applyNumberFormat="1" applyFont="1"/>
    <xf numFmtId="43" fontId="16" fillId="0" borderId="1" xfId="1" applyFont="1" applyBorder="1"/>
    <xf numFmtId="43" fontId="16" fillId="0" borderId="1" xfId="0" applyNumberFormat="1" applyFont="1" applyBorder="1"/>
    <xf numFmtId="43" fontId="16" fillId="0" borderId="0" xfId="1" applyFont="1" applyBorder="1"/>
    <xf numFmtId="43" fontId="16" fillId="0" borderId="0" xfId="0" applyNumberFormat="1" applyFont="1" applyBorder="1"/>
    <xf numFmtId="9" fontId="19" fillId="12" borderId="1" xfId="0" applyNumberFormat="1" applyFont="1" applyFill="1" applyBorder="1" applyAlignment="1">
      <alignment horizontal="center" vertical="center" wrapText="1"/>
    </xf>
    <xf numFmtId="10" fontId="19" fillId="12" borderId="1" xfId="0" applyNumberFormat="1" applyFont="1" applyFill="1" applyBorder="1" applyAlignment="1">
      <alignment horizontal="center" vertical="center" wrapText="1"/>
    </xf>
    <xf numFmtId="2" fontId="16" fillId="0" borderId="0" xfId="0" applyNumberFormat="1" applyFont="1"/>
    <xf numFmtId="168" fontId="16" fillId="0" borderId="0" xfId="0" applyNumberFormat="1" applyFont="1"/>
    <xf numFmtId="0" fontId="42" fillId="0" borderId="0" xfId="0" applyFont="1"/>
    <xf numFmtId="164" fontId="42" fillId="0" borderId="0" xfId="0" applyNumberFormat="1" applyFont="1"/>
    <xf numFmtId="0" fontId="42" fillId="0" borderId="0" xfId="0" applyFont="1" applyFill="1"/>
    <xf numFmtId="0" fontId="43" fillId="0" borderId="0" xfId="0" applyFont="1" applyFill="1"/>
    <xf numFmtId="9" fontId="20" fillId="9" borderId="1" xfId="3" applyFont="1" applyFill="1" applyBorder="1"/>
    <xf numFmtId="164" fontId="3" fillId="0" borderId="0" xfId="0" applyNumberFormat="1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43" fontId="0" fillId="0" borderId="1" xfId="1" applyFont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8" fillId="0" borderId="1" xfId="0" applyFont="1" applyBorder="1" applyAlignment="1">
      <alignment vertical="center"/>
    </xf>
    <xf numFmtId="170" fontId="1" fillId="0" borderId="0" xfId="0" applyNumberFormat="1" applyFont="1" applyFill="1" applyAlignment="1">
      <alignment horizontal="left"/>
    </xf>
    <xf numFmtId="10" fontId="1" fillId="0" borderId="1" xfId="3" applyNumberFormat="1" applyFont="1" applyFill="1" applyBorder="1"/>
    <xf numFmtId="2" fontId="1" fillId="0" borderId="0" xfId="0" applyNumberFormat="1" applyFont="1" applyFill="1"/>
    <xf numFmtId="170" fontId="1" fillId="0" borderId="0" xfId="0" applyNumberFormat="1" applyFont="1" applyFill="1"/>
    <xf numFmtId="0" fontId="16" fillId="0" borderId="1" xfId="0" applyFont="1" applyFill="1" applyBorder="1" applyAlignment="1">
      <alignment horizontal="right" vertical="center"/>
    </xf>
    <xf numFmtId="164" fontId="3" fillId="0" borderId="0" xfId="0" applyNumberFormat="1" applyFont="1"/>
    <xf numFmtId="0" fontId="1" fillId="0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64" fontId="16" fillId="0" borderId="0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right"/>
    </xf>
    <xf numFmtId="164" fontId="16" fillId="0" borderId="0" xfId="0" applyNumberFormat="1" applyFont="1" applyFill="1" applyBorder="1" applyAlignment="1">
      <alignment horizontal="right"/>
    </xf>
    <xf numFmtId="44" fontId="1" fillId="0" borderId="0" xfId="0" applyNumberFormat="1" applyFont="1" applyFill="1" applyBorder="1"/>
    <xf numFmtId="0" fontId="1" fillId="0" borderId="0" xfId="3" applyNumberFormat="1" applyFont="1" applyFill="1" applyBorder="1"/>
    <xf numFmtId="165" fontId="1" fillId="0" borderId="0" xfId="0" applyNumberFormat="1" applyFont="1" applyFill="1" applyBorder="1"/>
    <xf numFmtId="10" fontId="1" fillId="0" borderId="0" xfId="3" applyNumberFormat="1" applyFont="1" applyFill="1" applyBorder="1"/>
    <xf numFmtId="164" fontId="16" fillId="0" borderId="0" xfId="0" applyNumberFormat="1" applyFont="1" applyBorder="1"/>
    <xf numFmtId="0" fontId="45" fillId="0" borderId="0" xfId="0" applyFont="1"/>
    <xf numFmtId="0" fontId="46" fillId="8" borderId="0" xfId="0" applyFont="1" applyFill="1"/>
    <xf numFmtId="0" fontId="1" fillId="21" borderId="1" xfId="0" applyFont="1" applyFill="1" applyBorder="1" applyAlignment="1">
      <alignment horizontal="left" vertical="center" wrapText="1"/>
    </xf>
    <xf numFmtId="2" fontId="16" fillId="21" borderId="1" xfId="0" applyNumberFormat="1" applyFont="1" applyFill="1" applyBorder="1" applyAlignment="1">
      <alignment horizontal="right"/>
    </xf>
    <xf numFmtId="0" fontId="16" fillId="21" borderId="1" xfId="0" applyFont="1" applyFill="1" applyBorder="1" applyAlignment="1">
      <alignment horizontal="center"/>
    </xf>
    <xf numFmtId="2" fontId="1" fillId="21" borderId="1" xfId="0" applyNumberFormat="1" applyFont="1" applyFill="1" applyBorder="1" applyAlignment="1">
      <alignment horizontal="center"/>
    </xf>
    <xf numFmtId="2" fontId="17" fillId="21" borderId="1" xfId="0" applyNumberFormat="1" applyFont="1" applyFill="1" applyBorder="1" applyAlignment="1">
      <alignment horizontal="left"/>
    </xf>
    <xf numFmtId="164" fontId="4" fillId="17" borderId="1" xfId="0" applyNumberFormat="1" applyFont="1" applyFill="1" applyBorder="1" applyAlignment="1">
      <alignment horizontal="right"/>
    </xf>
    <xf numFmtId="0" fontId="49" fillId="0" borderId="0" xfId="0" applyFont="1" applyAlignment="1">
      <alignment horizontal="center"/>
    </xf>
    <xf numFmtId="0" fontId="49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34" fillId="0" borderId="0" xfId="0" applyFont="1" applyFill="1"/>
    <xf numFmtId="0" fontId="35" fillId="0" borderId="0" xfId="0" applyFont="1" applyFill="1"/>
    <xf numFmtId="0" fontId="2" fillId="8" borderId="0" xfId="0" applyFont="1" applyFill="1"/>
    <xf numFmtId="0" fontId="2" fillId="10" borderId="1" xfId="0" applyFont="1" applyFill="1" applyBorder="1" applyAlignment="1">
      <alignment horizontal="left"/>
    </xf>
    <xf numFmtId="0" fontId="2" fillId="13" borderId="1" xfId="0" applyFont="1" applyFill="1" applyBorder="1" applyAlignment="1">
      <alignment horizontal="left"/>
    </xf>
    <xf numFmtId="0" fontId="2" fillId="16" borderId="1" xfId="0" applyFont="1" applyFill="1" applyBorder="1" applyAlignment="1">
      <alignment horizontal="left"/>
    </xf>
    <xf numFmtId="0" fontId="39" fillId="0" borderId="0" xfId="0" applyFont="1"/>
    <xf numFmtId="0" fontId="39" fillId="19" borderId="0" xfId="0" applyFont="1" applyFill="1"/>
    <xf numFmtId="0" fontId="38" fillId="9" borderId="2" xfId="0" applyFont="1" applyFill="1" applyBorder="1" applyAlignment="1">
      <alignment horizontal="center"/>
    </xf>
    <xf numFmtId="0" fontId="38" fillId="0" borderId="0" xfId="0" applyFont="1" applyBorder="1" applyAlignment="1">
      <alignment horizontal="right"/>
    </xf>
    <xf numFmtId="0" fontId="38" fillId="9" borderId="3" xfId="0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right"/>
    </xf>
    <xf numFmtId="0" fontId="38" fillId="0" borderId="1" xfId="0" applyFont="1" applyBorder="1"/>
    <xf numFmtId="166" fontId="38" fillId="0" borderId="1" xfId="0" applyNumberFormat="1" applyFont="1" applyBorder="1" applyAlignment="1">
      <alignment horizontal="right"/>
    </xf>
    <xf numFmtId="2" fontId="38" fillId="0" borderId="1" xfId="0" applyNumberFormat="1" applyFont="1" applyBorder="1" applyAlignment="1">
      <alignment horizontal="right"/>
    </xf>
    <xf numFmtId="0" fontId="34" fillId="0" borderId="0" xfId="0" applyFont="1" applyAlignment="1">
      <alignment horizontal="justify" vertical="center"/>
    </xf>
    <xf numFmtId="0" fontId="0" fillId="0" borderId="0" xfId="0" applyAlignment="1">
      <alignment horizontal="right"/>
    </xf>
    <xf numFmtId="10" fontId="0" fillId="0" borderId="0" xfId="0" applyNumberFormat="1" applyAlignment="1">
      <alignment horizontal="left"/>
    </xf>
    <xf numFmtId="43" fontId="38" fillId="0" borderId="1" xfId="1" applyFont="1" applyBorder="1" applyAlignment="1">
      <alignment horizontal="right"/>
    </xf>
    <xf numFmtId="43" fontId="38" fillId="0" borderId="0" xfId="0" applyNumberFormat="1" applyFont="1" applyAlignment="1">
      <alignment horizontal="right"/>
    </xf>
    <xf numFmtId="49" fontId="38" fillId="9" borderId="2" xfId="0" applyNumberFormat="1" applyFont="1" applyFill="1" applyBorder="1" applyAlignment="1">
      <alignment horizontal="center"/>
    </xf>
    <xf numFmtId="0" fontId="38" fillId="19" borderId="0" xfId="0" applyFont="1" applyFill="1" applyBorder="1"/>
    <xf numFmtId="43" fontId="38" fillId="19" borderId="0" xfId="0" applyNumberFormat="1" applyFont="1" applyFill="1" applyBorder="1" applyAlignment="1"/>
    <xf numFmtId="0" fontId="37" fillId="0" borderId="0" xfId="0" applyFont="1" applyAlignment="1">
      <alignment horizontal="left"/>
    </xf>
    <xf numFmtId="0" fontId="39" fillId="0" borderId="1" xfId="0" applyFont="1" applyBorder="1"/>
    <xf numFmtId="43" fontId="38" fillId="0" borderId="1" xfId="0" applyNumberFormat="1" applyFont="1" applyBorder="1" applyAlignment="1">
      <alignment horizontal="right"/>
    </xf>
    <xf numFmtId="0" fontId="50" fillId="0" borderId="0" xfId="0" applyFont="1"/>
    <xf numFmtId="43" fontId="0" fillId="0" borderId="0" xfId="0" applyNumberFormat="1"/>
    <xf numFmtId="164" fontId="47" fillId="0" borderId="0" xfId="0" applyNumberFormat="1" applyFont="1" applyFill="1" applyAlignment="1"/>
    <xf numFmtId="0" fontId="3" fillId="0" borderId="0" xfId="0" applyFont="1" applyFill="1"/>
    <xf numFmtId="9" fontId="51" fillId="0" borderId="1" xfId="0" applyNumberFormat="1" applyFont="1" applyFill="1" applyBorder="1" applyAlignment="1">
      <alignment horizontal="center"/>
    </xf>
    <xf numFmtId="0" fontId="15" fillId="9" borderId="1" xfId="0" applyFont="1" applyFill="1" applyBorder="1"/>
    <xf numFmtId="0" fontId="51" fillId="9" borderId="1" xfId="0" applyFont="1" applyFill="1" applyBorder="1" applyAlignment="1">
      <alignment horizontal="center"/>
    </xf>
    <xf numFmtId="0" fontId="20" fillId="9" borderId="1" xfId="0" applyFont="1" applyFill="1" applyBorder="1" applyAlignment="1">
      <alignment horizontal="right"/>
    </xf>
    <xf numFmtId="2" fontId="52" fillId="0" borderId="1" xfId="0" applyNumberFormat="1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52" fillId="0" borderId="1" xfId="0" applyFont="1" applyBorder="1"/>
    <xf numFmtId="164" fontId="0" fillId="0" borderId="1" xfId="1" applyNumberFormat="1" applyFont="1" applyBorder="1" applyAlignment="1">
      <alignment horizontal="center"/>
    </xf>
    <xf numFmtId="164" fontId="52" fillId="0" borderId="1" xfId="0" applyNumberFormat="1" applyFont="1" applyBorder="1"/>
    <xf numFmtId="0" fontId="0" fillId="0" borderId="0" xfId="0" applyBorder="1"/>
    <xf numFmtId="0" fontId="0" fillId="0" borderId="8" xfId="0" applyBorder="1" applyAlignment="1"/>
    <xf numFmtId="0" fontId="19" fillId="15" borderId="3" xfId="0" applyFont="1" applyFill="1" applyBorder="1" applyAlignment="1">
      <alignment horizontal="left" vertical="center" wrapText="1"/>
    </xf>
    <xf numFmtId="3" fontId="18" fillId="15" borderId="3" xfId="0" applyNumberFormat="1" applyFont="1" applyFill="1" applyBorder="1" applyAlignment="1">
      <alignment horizontal="right" vertical="center" wrapText="1"/>
    </xf>
    <xf numFmtId="164" fontId="18" fillId="7" borderId="1" xfId="0" applyNumberFormat="1" applyFont="1" applyFill="1" applyBorder="1"/>
    <xf numFmtId="164" fontId="18" fillId="7" borderId="1" xfId="0" applyNumberFormat="1" applyFont="1" applyFill="1" applyBorder="1" applyAlignment="1"/>
    <xf numFmtId="0" fontId="18" fillId="0" borderId="1" xfId="0" applyFont="1" applyFill="1" applyBorder="1" applyAlignment="1"/>
    <xf numFmtId="164" fontId="18" fillId="0" borderId="1" xfId="0" applyNumberFormat="1" applyFont="1" applyFill="1" applyBorder="1" applyAlignment="1"/>
    <xf numFmtId="0" fontId="46" fillId="0" borderId="0" xfId="0" applyFont="1" applyFill="1"/>
    <xf numFmtId="164" fontId="2" fillId="0" borderId="1" xfId="0" applyNumberFormat="1" applyFont="1" applyFill="1" applyBorder="1" applyAlignment="1"/>
    <xf numFmtId="0" fontId="32" fillId="0" borderId="0" xfId="0" applyFont="1" applyFill="1"/>
    <xf numFmtId="8" fontId="16" fillId="0" borderId="0" xfId="0" applyNumberFormat="1" applyFont="1" applyFill="1"/>
    <xf numFmtId="0" fontId="18" fillId="0" borderId="0" xfId="0" applyFont="1" applyFill="1"/>
    <xf numFmtId="10" fontId="18" fillId="0" borderId="0" xfId="3" applyNumberFormat="1" applyFont="1" applyFill="1"/>
    <xf numFmtId="0" fontId="38" fillId="9" borderId="1" xfId="0" applyFont="1" applyFill="1" applyBorder="1" applyAlignment="1">
      <alignment horizontal="center"/>
    </xf>
    <xf numFmtId="43" fontId="38" fillId="9" borderId="1" xfId="1" applyFont="1" applyFill="1" applyBorder="1" applyAlignment="1">
      <alignment horizontal="right"/>
    </xf>
    <xf numFmtId="0" fontId="54" fillId="9" borderId="0" xfId="0" applyFont="1" applyFill="1"/>
    <xf numFmtId="0" fontId="52" fillId="9" borderId="0" xfId="0" applyFont="1" applyFill="1"/>
    <xf numFmtId="0" fontId="0" fillId="0" borderId="0" xfId="0" applyFill="1"/>
    <xf numFmtId="43" fontId="56" fillId="0" borderId="19" xfId="1" applyFont="1" applyBorder="1"/>
    <xf numFmtId="3" fontId="15" fillId="0" borderId="0" xfId="0" applyNumberFormat="1" applyFont="1" applyAlignment="1">
      <alignment horizontal="center"/>
    </xf>
    <xf numFmtId="0" fontId="51" fillId="11" borderId="11" xfId="0" applyFont="1" applyFill="1" applyBorder="1" applyAlignment="1">
      <alignment vertical="center" wrapText="1"/>
    </xf>
    <xf numFmtId="0" fontId="51" fillId="4" borderId="4" xfId="0" applyFont="1" applyFill="1" applyBorder="1" applyAlignment="1">
      <alignment horizontal="center" vertical="center" wrapText="1"/>
    </xf>
    <xf numFmtId="0" fontId="51" fillId="5" borderId="4" xfId="0" applyFont="1" applyFill="1" applyBorder="1" applyAlignment="1">
      <alignment horizontal="center" vertical="center" wrapText="1"/>
    </xf>
    <xf numFmtId="0" fontId="51" fillId="6" borderId="4" xfId="0" applyFont="1" applyFill="1" applyBorder="1" applyAlignment="1">
      <alignment horizontal="center" vertical="center" wrapText="1"/>
    </xf>
    <xf numFmtId="0" fontId="51" fillId="9" borderId="4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11" fillId="9" borderId="12" xfId="0" applyFont="1" applyFill="1" applyBorder="1" applyAlignment="1">
      <alignment vertical="center" wrapText="1"/>
    </xf>
    <xf numFmtId="3" fontId="11" fillId="0" borderId="0" xfId="0" applyNumberFormat="1" applyFont="1" applyFill="1" applyBorder="1" applyAlignment="1">
      <alignment horizontal="center" vertical="center" wrapText="1"/>
    </xf>
    <xf numFmtId="0" fontId="51" fillId="11" borderId="4" xfId="0" applyFont="1" applyFill="1" applyBorder="1" applyAlignment="1">
      <alignment horizontal="center" vertical="center" wrapText="1"/>
    </xf>
    <xf numFmtId="164" fontId="15" fillId="0" borderId="2" xfId="0" applyNumberFormat="1" applyFont="1" applyBorder="1" applyAlignment="1">
      <alignment horizontal="center" vertical="center" wrapText="1"/>
    </xf>
    <xf numFmtId="164" fontId="15" fillId="7" borderId="2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/>
    </xf>
    <xf numFmtId="164" fontId="20" fillId="7" borderId="1" xfId="0" applyNumberFormat="1" applyFont="1" applyFill="1" applyBorder="1" applyAlignment="1">
      <alignment horizontal="center"/>
    </xf>
    <xf numFmtId="168" fontId="0" fillId="0" borderId="0" xfId="0" applyNumberFormat="1"/>
    <xf numFmtId="165" fontId="0" fillId="0" borderId="0" xfId="0" applyNumberFormat="1"/>
    <xf numFmtId="0" fontId="57" fillId="0" borderId="0" xfId="0" applyFont="1" applyAlignment="1"/>
    <xf numFmtId="0" fontId="1" fillId="9" borderId="1" xfId="0" applyFont="1" applyFill="1" applyBorder="1" applyAlignment="1"/>
    <xf numFmtId="164" fontId="1" fillId="9" borderId="1" xfId="0" applyNumberFormat="1" applyFont="1" applyFill="1" applyBorder="1" applyAlignment="1"/>
    <xf numFmtId="0" fontId="29" fillId="22" borderId="1" xfId="0" applyFont="1" applyFill="1" applyBorder="1" applyAlignment="1">
      <alignment vertical="center"/>
    </xf>
    <xf numFmtId="2" fontId="0" fillId="22" borderId="1" xfId="0" applyNumberFormat="1" applyFill="1" applyBorder="1"/>
    <xf numFmtId="0" fontId="0" fillId="22" borderId="1" xfId="0" applyFill="1" applyBorder="1"/>
    <xf numFmtId="0" fontId="0" fillId="22" borderId="1" xfId="0" applyFill="1" applyBorder="1" applyAlignment="1">
      <alignment horizontal="center"/>
    </xf>
    <xf numFmtId="164" fontId="0" fillId="22" borderId="1" xfId="1" applyNumberFormat="1" applyFont="1" applyFill="1" applyBorder="1" applyAlignment="1">
      <alignment horizontal="center"/>
    </xf>
    <xf numFmtId="164" fontId="52" fillId="22" borderId="1" xfId="0" applyNumberFormat="1" applyFont="1" applyFill="1" applyBorder="1"/>
    <xf numFmtId="0" fontId="30" fillId="22" borderId="1" xfId="0" applyFont="1" applyFill="1" applyBorder="1"/>
    <xf numFmtId="0" fontId="13" fillId="22" borderId="1" xfId="0" applyFont="1" applyFill="1" applyBorder="1" applyAlignment="1">
      <alignment horizontal="center"/>
    </xf>
    <xf numFmtId="0" fontId="53" fillId="22" borderId="1" xfId="0" applyFont="1" applyFill="1" applyBorder="1"/>
    <xf numFmtId="0" fontId="2" fillId="0" borderId="1" xfId="0" applyFont="1" applyFill="1" applyBorder="1" applyAlignment="1">
      <alignment horizontal="left"/>
    </xf>
    <xf numFmtId="164" fontId="2" fillId="0" borderId="1" xfId="0" applyNumberFormat="1" applyFont="1" applyFill="1" applyBorder="1" applyAlignment="1">
      <alignment horizontal="right"/>
    </xf>
    <xf numFmtId="164" fontId="1" fillId="0" borderId="1" xfId="0" applyNumberFormat="1" applyFont="1" applyFill="1" applyBorder="1" applyAlignment="1">
      <alignment horizontal="right"/>
    </xf>
    <xf numFmtId="2" fontId="16" fillId="0" borderId="1" xfId="0" applyNumberFormat="1" applyFont="1" applyBorder="1"/>
    <xf numFmtId="164" fontId="48" fillId="0" borderId="0" xfId="0" applyNumberFormat="1" applyFont="1" applyFill="1" applyBorder="1" applyAlignment="1">
      <alignment horizontal="right"/>
    </xf>
    <xf numFmtId="0" fontId="48" fillId="0" borderId="0" xfId="0" applyFont="1" applyFill="1" applyBorder="1" applyAlignment="1">
      <alignment horizontal="center"/>
    </xf>
    <xf numFmtId="0" fontId="48" fillId="0" borderId="0" xfId="0" applyFont="1" applyFill="1"/>
    <xf numFmtId="2" fontId="36" fillId="0" borderId="0" xfId="0" applyNumberFormat="1" applyFont="1"/>
    <xf numFmtId="2" fontId="16" fillId="9" borderId="1" xfId="0" applyNumberFormat="1" applyFont="1" applyFill="1" applyBorder="1"/>
    <xf numFmtId="43" fontId="55" fillId="19" borderId="1" xfId="0" applyNumberFormat="1" applyFont="1" applyFill="1" applyBorder="1" applyAlignment="1"/>
    <xf numFmtId="0" fontId="55" fillId="19" borderId="1" xfId="0" applyFont="1" applyFill="1" applyBorder="1"/>
    <xf numFmtId="171" fontId="39" fillId="0" borderId="1" xfId="0" applyNumberFormat="1" applyFont="1" applyBorder="1"/>
    <xf numFmtId="0" fontId="27" fillId="9" borderId="1" xfId="0" applyFont="1" applyFill="1" applyBorder="1" applyAlignment="1">
      <alignment horizontal="center" vertical="center" wrapText="1"/>
    </xf>
    <xf numFmtId="0" fontId="0" fillId="9" borderId="0" xfId="0" applyFill="1"/>
    <xf numFmtId="2" fontId="23" fillId="0" borderId="0" xfId="0" applyNumberFormat="1" applyFont="1"/>
    <xf numFmtId="0" fontId="3" fillId="0" borderId="0" xfId="0" applyFont="1" applyBorder="1"/>
    <xf numFmtId="0" fontId="17" fillId="9" borderId="1" xfId="0" applyFont="1" applyFill="1" applyBorder="1" applyAlignment="1">
      <alignment horizontal="center"/>
    </xf>
    <xf numFmtId="3" fontId="0" fillId="0" borderId="0" xfId="0" applyNumberFormat="1" applyBorder="1"/>
    <xf numFmtId="2" fontId="0" fillId="0" borderId="0" xfId="0" applyNumberFormat="1" applyBorder="1"/>
    <xf numFmtId="164" fontId="0" fillId="0" borderId="0" xfId="0" applyNumberFormat="1" applyBorder="1"/>
    <xf numFmtId="0" fontId="16" fillId="0" borderId="0" xfId="0" applyFont="1" applyFill="1" applyBorder="1"/>
    <xf numFmtId="0" fontId="32" fillId="0" borderId="0" xfId="0" applyFont="1"/>
    <xf numFmtId="8" fontId="0" fillId="0" borderId="1" xfId="0" applyNumberFormat="1" applyBorder="1"/>
    <xf numFmtId="0" fontId="58" fillId="0" borderId="1" xfId="0" applyFont="1" applyBorder="1"/>
    <xf numFmtId="0" fontId="58" fillId="8" borderId="1" xfId="0" applyFont="1" applyFill="1" applyBorder="1"/>
    <xf numFmtId="164" fontId="5" fillId="23" borderId="1" xfId="0" applyNumberFormat="1" applyFont="1" applyFill="1" applyBorder="1"/>
    <xf numFmtId="164" fontId="1" fillId="23" borderId="1" xfId="0" applyNumberFormat="1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/>
    </xf>
    <xf numFmtId="0" fontId="3" fillId="23" borderId="1" xfId="0" applyFont="1" applyFill="1" applyBorder="1" applyAlignment="1">
      <alignment horizontal="center"/>
    </xf>
    <xf numFmtId="164" fontId="4" fillId="23" borderId="1" xfId="0" applyNumberFormat="1" applyFont="1" applyFill="1" applyBorder="1" applyAlignment="1">
      <alignment horizontal="right"/>
    </xf>
    <xf numFmtId="43" fontId="59" fillId="9" borderId="1" xfId="0" applyNumberFormat="1" applyFont="1" applyFill="1" applyBorder="1"/>
    <xf numFmtId="0" fontId="0" fillId="0" borderId="0" xfId="0" applyFill="1" applyBorder="1"/>
    <xf numFmtId="0" fontId="57" fillId="0" borderId="0" xfId="0" applyFont="1" applyFill="1" applyBorder="1"/>
    <xf numFmtId="43" fontId="0" fillId="9" borderId="0" xfId="0" applyNumberFormat="1" applyFill="1"/>
    <xf numFmtId="43" fontId="0" fillId="8" borderId="0" xfId="0" applyNumberFormat="1" applyFill="1"/>
    <xf numFmtId="0" fontId="58" fillId="0" borderId="0" xfId="0" applyFont="1" applyFill="1"/>
    <xf numFmtId="8" fontId="58" fillId="0" borderId="0" xfId="0" applyNumberFormat="1" applyFont="1" applyFill="1"/>
    <xf numFmtId="2" fontId="58" fillId="0" borderId="0" xfId="0" applyNumberFormat="1" applyFont="1" applyFill="1"/>
    <xf numFmtId="8" fontId="0" fillId="0" borderId="0" xfId="0" applyNumberFormat="1"/>
    <xf numFmtId="164" fontId="0" fillId="7" borderId="1" xfId="0" applyNumberFormat="1" applyFont="1" applyFill="1" applyBorder="1"/>
    <xf numFmtId="171" fontId="39" fillId="9" borderId="1" xfId="0" applyNumberFormat="1" applyFont="1" applyFill="1" applyBorder="1"/>
    <xf numFmtId="0" fontId="38" fillId="0" borderId="1" xfId="0" applyFont="1" applyFill="1" applyBorder="1" applyAlignment="1">
      <alignment horizontal="center"/>
    </xf>
    <xf numFmtId="0" fontId="38" fillId="0" borderId="1" xfId="0" applyFont="1" applyFill="1" applyBorder="1"/>
    <xf numFmtId="2" fontId="38" fillId="0" borderId="1" xfId="0" applyNumberFormat="1" applyFont="1" applyFill="1" applyBorder="1" applyAlignment="1">
      <alignment horizontal="right"/>
    </xf>
    <xf numFmtId="166" fontId="38" fillId="0" borderId="1" xfId="0" applyNumberFormat="1" applyFont="1" applyFill="1" applyBorder="1" applyAlignment="1">
      <alignment horizontal="right"/>
    </xf>
    <xf numFmtId="43" fontId="38" fillId="0" borderId="1" xfId="1" applyFont="1" applyFill="1" applyBorder="1" applyAlignment="1">
      <alignment horizontal="right"/>
    </xf>
    <xf numFmtId="0" fontId="1" fillId="22" borderId="7" xfId="0" applyFont="1" applyFill="1" applyBorder="1" applyAlignment="1">
      <alignment horizontal="left" vertical="center" wrapText="1"/>
    </xf>
    <xf numFmtId="0" fontId="4" fillId="22" borderId="8" xfId="0" applyFont="1" applyFill="1" applyBorder="1" applyAlignment="1">
      <alignment horizontal="right"/>
    </xf>
    <xf numFmtId="0" fontId="4" fillId="22" borderId="8" xfId="0" applyFont="1" applyFill="1" applyBorder="1" applyAlignment="1">
      <alignment horizontal="center"/>
    </xf>
    <xf numFmtId="0" fontId="1" fillId="22" borderId="13" xfId="0" applyFont="1" applyFill="1" applyBorder="1" applyAlignment="1">
      <alignment horizontal="left" vertical="center" wrapText="1"/>
    </xf>
    <xf numFmtId="0" fontId="3" fillId="22" borderId="14" xfId="0" applyFont="1" applyFill="1" applyBorder="1" applyAlignment="1">
      <alignment horizontal="right"/>
    </xf>
    <xf numFmtId="0" fontId="3" fillId="22" borderId="14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0" fontId="1" fillId="22" borderId="1" xfId="0" applyFont="1" applyFill="1" applyBorder="1" applyAlignment="1">
      <alignment horizontal="left" vertical="center" wrapText="1"/>
    </xf>
    <xf numFmtId="0" fontId="3" fillId="22" borderId="1" xfId="0" applyFont="1" applyFill="1" applyBorder="1" applyAlignment="1">
      <alignment horizontal="right"/>
    </xf>
    <xf numFmtId="0" fontId="3" fillId="22" borderId="1" xfId="0" applyFont="1" applyFill="1" applyBorder="1" applyAlignment="1">
      <alignment horizontal="center"/>
    </xf>
    <xf numFmtId="164" fontId="4" fillId="22" borderId="1" xfId="0" applyNumberFormat="1" applyFont="1" applyFill="1" applyBorder="1" applyAlignment="1">
      <alignment horizontal="center"/>
    </xf>
    <xf numFmtId="0" fontId="4" fillId="22" borderId="1" xfId="0" applyFont="1" applyFill="1" applyBorder="1" applyAlignment="1">
      <alignment horizontal="left" vertical="center" wrapText="1"/>
    </xf>
    <xf numFmtId="0" fontId="4" fillId="22" borderId="1" xfId="0" applyFont="1" applyFill="1" applyBorder="1" applyAlignment="1">
      <alignment horizontal="right"/>
    </xf>
    <xf numFmtId="0" fontId="4" fillId="22" borderId="1" xfId="0" applyFont="1" applyFill="1" applyBorder="1" applyAlignment="1">
      <alignment horizontal="center"/>
    </xf>
    <xf numFmtId="0" fontId="16" fillId="7" borderId="1" xfId="0" applyFont="1" applyFill="1" applyBorder="1"/>
    <xf numFmtId="0" fontId="17" fillId="22" borderId="0" xfId="0" applyFont="1" applyFill="1"/>
    <xf numFmtId="164" fontId="1" fillId="22" borderId="1" xfId="0" applyNumberFormat="1" applyFont="1" applyFill="1" applyBorder="1" applyAlignment="1"/>
    <xf numFmtId="0" fontId="1" fillId="22" borderId="1" xfId="0" applyFont="1" applyFill="1" applyBorder="1" applyAlignment="1"/>
    <xf numFmtId="164" fontId="19" fillId="22" borderId="1" xfId="0" applyNumberFormat="1" applyFont="1" applyFill="1" applyBorder="1" applyAlignment="1"/>
    <xf numFmtId="0" fontId="1" fillId="8" borderId="1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vertical="center"/>
    </xf>
    <xf numFmtId="164" fontId="1" fillId="8" borderId="3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vertical="center"/>
    </xf>
    <xf numFmtId="164" fontId="1" fillId="8" borderId="1" xfId="0" applyNumberFormat="1" applyFont="1" applyFill="1" applyBorder="1" applyAlignment="1">
      <alignment horizontal="center" vertical="center"/>
    </xf>
    <xf numFmtId="164" fontId="1" fillId="24" borderId="1" xfId="0" applyNumberFormat="1" applyFont="1" applyFill="1" applyBorder="1" applyAlignment="1">
      <alignment horizontal="right"/>
    </xf>
    <xf numFmtId="2" fontId="19" fillId="9" borderId="1" xfId="0" applyNumberFormat="1" applyFont="1" applyFill="1" applyBorder="1" applyAlignment="1">
      <alignment horizontal="right"/>
    </xf>
    <xf numFmtId="172" fontId="0" fillId="0" borderId="0" xfId="0" applyNumberFormat="1"/>
    <xf numFmtId="164" fontId="38" fillId="0" borderId="1" xfId="0" applyNumberFormat="1" applyFont="1" applyBorder="1" applyAlignment="1">
      <alignment horizontal="right"/>
    </xf>
    <xf numFmtId="0" fontId="0" fillId="0" borderId="0" xfId="0" applyFill="1" applyAlignment="1">
      <alignment horizontal="left"/>
    </xf>
    <xf numFmtId="8" fontId="0" fillId="0" borderId="0" xfId="0" applyNumberFormat="1" applyFill="1" applyAlignment="1">
      <alignment horizontal="left"/>
    </xf>
    <xf numFmtId="0" fontId="57" fillId="0" borderId="0" xfId="0" applyFont="1" applyFill="1" applyAlignment="1">
      <alignment horizontal="left"/>
    </xf>
    <xf numFmtId="8" fontId="0" fillId="0" borderId="0" xfId="0" applyNumberFormat="1" applyAlignment="1">
      <alignment horizontal="left"/>
    </xf>
    <xf numFmtId="8" fontId="62" fillId="0" borderId="0" xfId="0" applyNumberFormat="1" applyFont="1" applyFill="1" applyAlignment="1">
      <alignment horizontal="left"/>
    </xf>
    <xf numFmtId="0" fontId="62" fillId="0" borderId="0" xfId="0" applyFont="1" applyFill="1"/>
    <xf numFmtId="169" fontId="23" fillId="0" borderId="0" xfId="0" applyNumberFormat="1" applyFont="1"/>
    <xf numFmtId="164" fontId="2" fillId="22" borderId="1" xfId="0" applyNumberFormat="1" applyFont="1" applyFill="1" applyBorder="1" applyAlignment="1">
      <alignment horizontal="right"/>
    </xf>
    <xf numFmtId="0" fontId="0" fillId="9" borderId="1" xfId="0" applyFill="1" applyBorder="1" applyAlignment="1">
      <alignment horizontal="center" vertical="center" wrapText="1"/>
    </xf>
    <xf numFmtId="43" fontId="0" fillId="0" borderId="0" xfId="0" applyNumberFormat="1" applyFill="1"/>
    <xf numFmtId="164" fontId="35" fillId="0" borderId="0" xfId="0" applyNumberFormat="1" applyFont="1" applyFill="1"/>
    <xf numFmtId="4" fontId="35" fillId="0" borderId="0" xfId="0" applyNumberFormat="1" applyFont="1" applyFill="1"/>
    <xf numFmtId="3" fontId="16" fillId="0" borderId="0" xfId="0" applyNumberFormat="1" applyFont="1"/>
    <xf numFmtId="168" fontId="23" fillId="0" borderId="0" xfId="0" applyNumberFormat="1" applyFont="1"/>
    <xf numFmtId="0" fontId="0" fillId="8" borderId="1" xfId="0" applyFill="1" applyBorder="1"/>
    <xf numFmtId="8" fontId="0" fillId="8" borderId="1" xfId="0" applyNumberFormat="1" applyFill="1" applyBorder="1"/>
    <xf numFmtId="9" fontId="0" fillId="0" borderId="0" xfId="3" applyFont="1"/>
    <xf numFmtId="0" fontId="63" fillId="0" borderId="0" xfId="0" applyFont="1"/>
    <xf numFmtId="0" fontId="63" fillId="0" borderId="0" xfId="0" applyFont="1" applyBorder="1"/>
    <xf numFmtId="0" fontId="63" fillId="7" borderId="0" xfId="0" applyFont="1" applyFill="1"/>
    <xf numFmtId="164" fontId="63" fillId="7" borderId="0" xfId="0" applyNumberFormat="1" applyFont="1" applyFill="1"/>
    <xf numFmtId="165" fontId="63" fillId="0" borderId="0" xfId="0" applyNumberFormat="1" applyFont="1"/>
    <xf numFmtId="0" fontId="63" fillId="0" borderId="0" xfId="0" applyFont="1" applyAlignment="1">
      <alignment horizontal="right"/>
    </xf>
    <xf numFmtId="2" fontId="63" fillId="0" borderId="0" xfId="0" applyNumberFormat="1" applyFont="1"/>
    <xf numFmtId="0" fontId="1" fillId="22" borderId="15" xfId="0" applyFont="1" applyFill="1" applyBorder="1" applyAlignment="1">
      <alignment horizontal="center" vertical="center" wrapText="1"/>
    </xf>
    <xf numFmtId="0" fontId="1" fillId="22" borderId="5" xfId="0" applyFont="1" applyFill="1" applyBorder="1" applyAlignment="1">
      <alignment horizontal="center" vertical="center" wrapText="1"/>
    </xf>
    <xf numFmtId="164" fontId="64" fillId="0" borderId="0" xfId="0" applyNumberFormat="1" applyFont="1" applyBorder="1" applyAlignment="1">
      <alignment horizontal="right"/>
    </xf>
    <xf numFmtId="0" fontId="65" fillId="7" borderId="0" xfId="0" applyFont="1" applyFill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1" fillId="22" borderId="1" xfId="0" applyFont="1" applyFill="1" applyBorder="1" applyAlignment="1">
      <alignment horizontal="center" vertical="center"/>
    </xf>
    <xf numFmtId="0" fontId="1" fillId="22" borderId="1" xfId="0" applyFont="1" applyFill="1" applyBorder="1" applyAlignment="1">
      <alignment vertical="center"/>
    </xf>
    <xf numFmtId="164" fontId="1" fillId="22" borderId="1" xfId="0" applyNumberFormat="1" applyFont="1" applyFill="1" applyBorder="1" applyAlignment="1">
      <alignment horizontal="center" vertical="center"/>
    </xf>
    <xf numFmtId="0" fontId="0" fillId="8" borderId="9" xfId="0" applyFill="1" applyBorder="1"/>
    <xf numFmtId="8" fontId="0" fillId="8" borderId="21" xfId="0" applyNumberFormat="1" applyFill="1" applyBorder="1"/>
    <xf numFmtId="0" fontId="0" fillId="8" borderId="22" xfId="0" applyFill="1" applyBorder="1"/>
    <xf numFmtId="0" fontId="0" fillId="8" borderId="23" xfId="0" applyFill="1" applyBorder="1"/>
    <xf numFmtId="164" fontId="2" fillId="8" borderId="0" xfId="0" applyNumberFormat="1" applyFont="1" applyFill="1"/>
    <xf numFmtId="164" fontId="50" fillId="8" borderId="0" xfId="0" applyNumberFormat="1" applyFont="1" applyFill="1"/>
    <xf numFmtId="0" fontId="16" fillId="25" borderId="0" xfId="0" applyFont="1" applyFill="1"/>
    <xf numFmtId="164" fontId="59" fillId="8" borderId="0" xfId="0" applyNumberFormat="1" applyFont="1" applyFill="1" applyAlignment="1">
      <alignment horizontal="left"/>
    </xf>
    <xf numFmtId="0" fontId="23" fillId="24" borderId="0" xfId="0" applyFont="1" applyFill="1"/>
    <xf numFmtId="164" fontId="67" fillId="10" borderId="0" xfId="0" applyNumberFormat="1" applyFont="1" applyFill="1"/>
    <xf numFmtId="166" fontId="42" fillId="0" borderId="0" xfId="3" applyNumberFormat="1" applyFont="1"/>
    <xf numFmtId="166" fontId="0" fillId="0" borderId="0" xfId="0" applyNumberFormat="1"/>
    <xf numFmtId="44" fontId="0" fillId="0" borderId="0" xfId="2" applyFont="1"/>
    <xf numFmtId="44" fontId="0" fillId="0" borderId="0" xfId="2" applyFont="1" applyAlignment="1"/>
    <xf numFmtId="168" fontId="15" fillId="0" borderId="0" xfId="3" applyNumberFormat="1" applyFont="1"/>
    <xf numFmtId="165" fontId="16" fillId="0" borderId="0" xfId="0" applyNumberFormat="1" applyFont="1"/>
    <xf numFmtId="0" fontId="15" fillId="0" borderId="0" xfId="0" applyFont="1" applyBorder="1"/>
    <xf numFmtId="166" fontId="15" fillId="0" borderId="0" xfId="0" applyNumberFormat="1" applyFont="1"/>
    <xf numFmtId="164" fontId="16" fillId="8" borderId="0" xfId="0" applyNumberFormat="1" applyFont="1" applyFill="1"/>
    <xf numFmtId="164" fontId="16" fillId="24" borderId="0" xfId="0" applyNumberFormat="1" applyFont="1" applyFill="1"/>
    <xf numFmtId="0" fontId="15" fillId="0" borderId="1" xfId="0" applyFont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0" fontId="20" fillId="0" borderId="23" xfId="0" applyFont="1" applyBorder="1"/>
    <xf numFmtId="0" fontId="20" fillId="0" borderId="22" xfId="0" applyFont="1" applyBorder="1"/>
    <xf numFmtId="164" fontId="60" fillId="0" borderId="1" xfId="0" applyNumberFormat="1" applyFont="1" applyBorder="1" applyAlignment="1">
      <alignment horizontal="center" vertical="center"/>
    </xf>
    <xf numFmtId="8" fontId="60" fillId="0" borderId="1" xfId="0" applyNumberFormat="1" applyFont="1" applyBorder="1" applyAlignment="1">
      <alignment horizontal="center" vertical="center"/>
    </xf>
    <xf numFmtId="164" fontId="60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22" borderId="15" xfId="0" applyFill="1" applyBorder="1"/>
    <xf numFmtId="8" fontId="0" fillId="22" borderId="1" xfId="0" applyNumberFormat="1" applyFill="1" applyBorder="1"/>
    <xf numFmtId="0" fontId="0" fillId="0" borderId="13" xfId="0" applyBorder="1"/>
    <xf numFmtId="0" fontId="0" fillId="0" borderId="0" xfId="0" applyFill="1" applyBorder="1" applyAlignment="1"/>
    <xf numFmtId="164" fontId="0" fillId="0" borderId="13" xfId="0" applyNumberFormat="1" applyBorder="1"/>
    <xf numFmtId="43" fontId="55" fillId="0" borderId="0" xfId="0" applyNumberFormat="1" applyFont="1" applyAlignment="1">
      <alignment horizontal="right"/>
    </xf>
    <xf numFmtId="174" fontId="38" fillId="0" borderId="0" xfId="0" applyNumberFormat="1" applyFont="1" applyAlignment="1">
      <alignment horizontal="right"/>
    </xf>
    <xf numFmtId="164" fontId="0" fillId="8" borderId="0" xfId="0" applyNumberFormat="1" applyFill="1"/>
    <xf numFmtId="164" fontId="0" fillId="9" borderId="0" xfId="0" applyNumberFormat="1" applyFill="1"/>
    <xf numFmtId="173" fontId="66" fillId="8" borderId="1" xfId="0" applyNumberFormat="1" applyFont="1" applyFill="1" applyBorder="1" applyAlignment="1">
      <alignment horizontal="center" vertical="center"/>
    </xf>
    <xf numFmtId="173" fontId="66" fillId="9" borderId="1" xfId="0" applyNumberFormat="1" applyFont="1" applyFill="1" applyBorder="1" applyAlignment="1">
      <alignment horizontal="center" vertical="center"/>
    </xf>
    <xf numFmtId="164" fontId="3" fillId="9" borderId="1" xfId="0" applyNumberFormat="1" applyFont="1" applyFill="1" applyBorder="1" applyAlignment="1">
      <alignment horizontal="center" vertical="center"/>
    </xf>
    <xf numFmtId="164" fontId="0" fillId="7" borderId="1" xfId="0" applyNumberFormat="1" applyFont="1" applyFill="1" applyBorder="1" applyAlignment="1">
      <alignment horizontal="center"/>
    </xf>
    <xf numFmtId="0" fontId="60" fillId="22" borderId="1" xfId="0" applyFont="1" applyFill="1" applyBorder="1" applyAlignment="1">
      <alignment horizontal="center"/>
    </xf>
    <xf numFmtId="0" fontId="60" fillId="22" borderId="1" xfId="0" applyFont="1" applyFill="1" applyBorder="1"/>
    <xf numFmtId="164" fontId="60" fillId="22" borderId="1" xfId="0" applyNumberFormat="1" applyFont="1" applyFill="1" applyBorder="1"/>
    <xf numFmtId="173" fontId="60" fillId="22" borderId="0" xfId="1" applyNumberFormat="1" applyFont="1" applyFill="1"/>
    <xf numFmtId="0" fontId="60" fillId="0" borderId="0" xfId="0" applyFont="1" applyFill="1"/>
    <xf numFmtId="43" fontId="60" fillId="0" borderId="0" xfId="0" applyNumberFormat="1" applyFont="1" applyFill="1"/>
    <xf numFmtId="1" fontId="0" fillId="0" borderId="1" xfId="0" applyNumberFormat="1" applyBorder="1" applyAlignment="1">
      <alignment horizontal="center"/>
    </xf>
    <xf numFmtId="164" fontId="16" fillId="0" borderId="0" xfId="0" applyNumberFormat="1" applyFont="1" applyFill="1"/>
    <xf numFmtId="2" fontId="32" fillId="8" borderId="0" xfId="0" applyNumberFormat="1" applyFont="1" applyFill="1"/>
    <xf numFmtId="0" fontId="17" fillId="9" borderId="1" xfId="0" applyFont="1" applyFill="1" applyBorder="1" applyAlignment="1">
      <alignment horizontal="left"/>
    </xf>
    <xf numFmtId="164" fontId="16" fillId="0" borderId="1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 wrapText="1"/>
    </xf>
    <xf numFmtId="1" fontId="16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56" fillId="7" borderId="1" xfId="0" applyFont="1" applyFill="1" applyBorder="1"/>
    <xf numFmtId="9" fontId="16" fillId="0" borderId="0" xfId="0" applyNumberFormat="1" applyFont="1"/>
    <xf numFmtId="0" fontId="0" fillId="7" borderId="0" xfId="0" applyFill="1" applyBorder="1"/>
    <xf numFmtId="0" fontId="69" fillId="7" borderId="0" xfId="0" applyFont="1" applyFill="1" applyBorder="1" applyAlignment="1">
      <alignment horizontal="center" vertical="center"/>
    </xf>
    <xf numFmtId="4" fontId="70" fillId="7" borderId="0" xfId="0" applyNumberFormat="1" applyFont="1" applyFill="1" applyBorder="1" applyAlignment="1">
      <alignment horizontal="center" vertical="center"/>
    </xf>
    <xf numFmtId="0" fontId="69" fillId="8" borderId="17" xfId="0" applyFont="1" applyFill="1" applyBorder="1" applyAlignment="1">
      <alignment horizontal="center" vertical="center"/>
    </xf>
    <xf numFmtId="0" fontId="70" fillId="9" borderId="24" xfId="0" applyFont="1" applyFill="1" applyBorder="1" applyAlignment="1">
      <alignment horizontal="center" vertical="center"/>
    </xf>
    <xf numFmtId="0" fontId="69" fillId="8" borderId="1" xfId="0" applyFont="1" applyFill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38" fillId="7" borderId="1" xfId="0" applyFont="1" applyFill="1" applyBorder="1" applyAlignment="1">
      <alignment horizontal="center"/>
    </xf>
    <xf numFmtId="0" fontId="38" fillId="7" borderId="1" xfId="0" applyFont="1" applyFill="1" applyBorder="1"/>
    <xf numFmtId="2" fontId="38" fillId="7" borderId="1" xfId="0" applyNumberFormat="1" applyFont="1" applyFill="1" applyBorder="1" applyAlignment="1">
      <alignment horizontal="right"/>
    </xf>
    <xf numFmtId="166" fontId="38" fillId="7" borderId="1" xfId="0" applyNumberFormat="1" applyFont="1" applyFill="1" applyBorder="1" applyAlignment="1">
      <alignment horizontal="right"/>
    </xf>
    <xf numFmtId="43" fontId="38" fillId="7" borderId="1" xfId="1" applyFont="1" applyFill="1" applyBorder="1" applyAlignment="1">
      <alignment horizontal="right"/>
    </xf>
    <xf numFmtId="0" fontId="71" fillId="0" borderId="1" xfId="0" applyFont="1" applyBorder="1" applyAlignment="1">
      <alignment horizontal="center"/>
    </xf>
    <xf numFmtId="0" fontId="0" fillId="7" borderId="1" xfId="0" applyFill="1" applyBorder="1"/>
    <xf numFmtId="164" fontId="3" fillId="7" borderId="1" xfId="0" applyNumberFormat="1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/>
    </xf>
    <xf numFmtId="0" fontId="2" fillId="7" borderId="1" xfId="0" applyFont="1" applyFill="1" applyBorder="1" applyAlignment="1">
      <alignment horizontal="left" vertical="center" wrapText="1"/>
    </xf>
    <xf numFmtId="0" fontId="2" fillId="7" borderId="3" xfId="0" applyFont="1" applyFill="1" applyBorder="1" applyAlignment="1">
      <alignment horizontal="left" vertical="center" wrapText="1"/>
    </xf>
    <xf numFmtId="164" fontId="3" fillId="7" borderId="3" xfId="0" applyNumberFormat="1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/>
    </xf>
    <xf numFmtId="164" fontId="3" fillId="7" borderId="3" xfId="0" applyNumberFormat="1" applyFont="1" applyFill="1" applyBorder="1" applyAlignment="1">
      <alignment horizontal="center"/>
    </xf>
    <xf numFmtId="164" fontId="51" fillId="26" borderId="5" xfId="0" applyNumberFormat="1" applyFont="1" applyFill="1" applyBorder="1" applyAlignment="1">
      <alignment vertical="center" wrapText="1"/>
    </xf>
    <xf numFmtId="0" fontId="56" fillId="0" borderId="9" xfId="0" applyFont="1" applyBorder="1"/>
    <xf numFmtId="0" fontId="56" fillId="0" borderId="10" xfId="0" applyFont="1" applyBorder="1"/>
    <xf numFmtId="0" fontId="56" fillId="0" borderId="21" xfId="0" applyFont="1" applyBorder="1"/>
    <xf numFmtId="0" fontId="56" fillId="0" borderId="22" xfId="0" applyFont="1" applyBorder="1"/>
    <xf numFmtId="0" fontId="56" fillId="0" borderId="0" xfId="0" applyFont="1" applyBorder="1"/>
    <xf numFmtId="0" fontId="56" fillId="0" borderId="23" xfId="0" applyFont="1" applyBorder="1"/>
    <xf numFmtId="0" fontId="45" fillId="0" borderId="8" xfId="0" applyFont="1" applyBorder="1"/>
    <xf numFmtId="0" fontId="45" fillId="0" borderId="5" xfId="0" applyFont="1" applyBorder="1"/>
    <xf numFmtId="0" fontId="56" fillId="0" borderId="0" xfId="0" applyFont="1"/>
    <xf numFmtId="164" fontId="56" fillId="0" borderId="0" xfId="0" applyNumberFormat="1" applyFont="1"/>
    <xf numFmtId="0" fontId="0" fillId="8" borderId="0" xfId="0" applyFill="1"/>
    <xf numFmtId="0" fontId="0" fillId="27" borderId="0" xfId="0" applyFill="1"/>
    <xf numFmtId="0" fontId="0" fillId="28" borderId="0" xfId="0" applyFill="1"/>
    <xf numFmtId="0" fontId="0" fillId="26" borderId="0" xfId="0" applyFill="1"/>
    <xf numFmtId="0" fontId="38" fillId="8" borderId="1" xfId="0" applyFont="1" applyFill="1" applyBorder="1" applyAlignment="1">
      <alignment horizontal="center"/>
    </xf>
    <xf numFmtId="0" fontId="38" fillId="8" borderId="1" xfId="0" applyFont="1" applyFill="1" applyBorder="1"/>
    <xf numFmtId="2" fontId="38" fillId="8" borderId="1" xfId="0" applyNumberFormat="1" applyFont="1" applyFill="1" applyBorder="1" applyAlignment="1">
      <alignment horizontal="right"/>
    </xf>
    <xf numFmtId="166" fontId="38" fillId="8" borderId="1" xfId="0" applyNumberFormat="1" applyFont="1" applyFill="1" applyBorder="1" applyAlignment="1">
      <alignment horizontal="right"/>
    </xf>
    <xf numFmtId="43" fontId="38" fillId="8" borderId="1" xfId="1" applyFont="1" applyFill="1" applyBorder="1" applyAlignment="1">
      <alignment horizontal="right"/>
    </xf>
    <xf numFmtId="2" fontId="55" fillId="24" borderId="19" xfId="0" applyNumberFormat="1" applyFont="1" applyFill="1" applyBorder="1" applyAlignment="1">
      <alignment horizontal="center"/>
    </xf>
    <xf numFmtId="2" fontId="9" fillId="24" borderId="19" xfId="0" applyNumberFormat="1" applyFont="1" applyFill="1" applyBorder="1" applyAlignment="1">
      <alignment horizontal="center"/>
    </xf>
    <xf numFmtId="2" fontId="9" fillId="24" borderId="19" xfId="0" applyNumberFormat="1" applyFont="1" applyFill="1" applyBorder="1" applyAlignment="1">
      <alignment horizontal="right"/>
    </xf>
    <xf numFmtId="0" fontId="1" fillId="24" borderId="1" xfId="0" applyFont="1" applyFill="1" applyBorder="1" applyAlignment="1">
      <alignment horizontal="left"/>
    </xf>
    <xf numFmtId="0" fontId="1" fillId="25" borderId="1" xfId="0" applyFont="1" applyFill="1" applyBorder="1" applyAlignment="1">
      <alignment horizontal="left"/>
    </xf>
    <xf numFmtId="10" fontId="1" fillId="25" borderId="1" xfId="0" applyNumberFormat="1" applyFont="1" applyFill="1" applyBorder="1"/>
    <xf numFmtId="8" fontId="17" fillId="25" borderId="1" xfId="0" applyNumberFormat="1" applyFont="1" applyFill="1" applyBorder="1"/>
    <xf numFmtId="0" fontId="17" fillId="25" borderId="1" xfId="0" applyFont="1" applyFill="1" applyBorder="1"/>
    <xf numFmtId="8" fontId="1" fillId="25" borderId="1" xfId="0" applyNumberFormat="1" applyFont="1" applyFill="1" applyBorder="1"/>
    <xf numFmtId="0" fontId="15" fillId="7" borderId="0" xfId="0" applyFont="1" applyFill="1"/>
    <xf numFmtId="164" fontId="15" fillId="7" borderId="0" xfId="0" applyNumberFormat="1" applyFont="1" applyFill="1"/>
    <xf numFmtId="166" fontId="15" fillId="7" borderId="0" xfId="0" applyNumberFormat="1" applyFont="1" applyFill="1"/>
    <xf numFmtId="0" fontId="44" fillId="0" borderId="0" xfId="0" applyFont="1" applyFill="1" applyAlignment="1">
      <alignment horizontal="left"/>
    </xf>
    <xf numFmtId="0" fontId="5" fillId="0" borderId="0" xfId="0" applyFont="1" applyAlignment="1">
      <alignment horizontal="center"/>
    </xf>
    <xf numFmtId="0" fontId="1" fillId="20" borderId="3" xfId="0" applyFont="1" applyFill="1" applyBorder="1" applyAlignment="1">
      <alignment horizontal="center" vertical="center" wrapText="1"/>
    </xf>
    <xf numFmtId="0" fontId="1" fillId="20" borderId="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9" borderId="1" xfId="0" applyFont="1" applyFill="1" applyBorder="1" applyAlignment="1">
      <alignment horizontal="center"/>
    </xf>
    <xf numFmtId="0" fontId="20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13" fillId="0" borderId="0" xfId="0" applyFont="1" applyAlignment="1">
      <alignment horizontal="center"/>
    </xf>
    <xf numFmtId="0" fontId="1" fillId="9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6" fillId="0" borderId="7" xfId="0" applyFont="1" applyBorder="1" applyAlignment="1">
      <alignment horizontal="center"/>
    </xf>
    <xf numFmtId="0" fontId="56" fillId="0" borderId="8" xfId="0" applyFont="1" applyBorder="1" applyAlignment="1">
      <alignment horizontal="center"/>
    </xf>
    <xf numFmtId="0" fontId="56" fillId="0" borderId="5" xfId="0" applyFont="1" applyBorder="1" applyAlignment="1">
      <alignment horizontal="center"/>
    </xf>
    <xf numFmtId="0" fontId="72" fillId="0" borderId="10" xfId="0" applyFont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6" fillId="9" borderId="1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37" fillId="0" borderId="0" xfId="0" applyFont="1" applyAlignment="1">
      <alignment vertical="center" wrapText="1"/>
    </xf>
    <xf numFmtId="0" fontId="61" fillId="9" borderId="0" xfId="0" applyFont="1" applyFill="1"/>
    <xf numFmtId="0" fontId="38" fillId="9" borderId="13" xfId="0" applyFont="1" applyFill="1" applyBorder="1" applyAlignment="1">
      <alignment horizontal="center"/>
    </xf>
    <xf numFmtId="0" fontId="38" fillId="9" borderId="14" xfId="0" applyFont="1" applyFill="1" applyBorder="1" applyAlignment="1">
      <alignment horizontal="center"/>
    </xf>
    <xf numFmtId="0" fontId="38" fillId="9" borderId="15" xfId="0" applyFont="1" applyFill="1" applyBorder="1" applyAlignment="1">
      <alignment horizontal="center"/>
    </xf>
    <xf numFmtId="0" fontId="60" fillId="0" borderId="1" xfId="0" applyFont="1" applyBorder="1" applyAlignment="1">
      <alignment horizontal="center"/>
    </xf>
    <xf numFmtId="0" fontId="60" fillId="22" borderId="10" xfId="0" applyFont="1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14" xfId="0" applyFill="1" applyBorder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mruColors>
      <color rgb="FF00FFCC"/>
      <color rgb="FF0066FF"/>
      <color rgb="FFFF0000"/>
      <color rgb="FF66FFFF"/>
      <color rgb="FFDCFB25"/>
      <color rgb="FFDDDDDD"/>
      <color rgb="FFCCFFFF"/>
      <color rgb="FF99CCFF"/>
      <color rgb="FF0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Hoja1!$B$32</c:f>
              <c:strCache>
                <c:ptCount val="1"/>
                <c:pt idx="0">
                  <c:v>UNIDADES</c:v>
                </c:pt>
              </c:strCache>
            </c:strRef>
          </c:tx>
          <c:marker>
            <c:symbol val="none"/>
          </c:marker>
          <c:val>
            <c:numRef>
              <c:f>Hoja1!$B$33:$B$43</c:f>
              <c:numCache>
                <c:formatCode>General</c:formatCode>
                <c:ptCount val="11"/>
                <c:pt idx="0">
                  <c:v>20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85</c:v>
                </c:pt>
                <c:pt idx="5">
                  <c:v>90</c:v>
                </c:pt>
                <c:pt idx="6">
                  <c:v>100</c:v>
                </c:pt>
                <c:pt idx="7">
                  <c:v>118</c:v>
                </c:pt>
                <c:pt idx="8">
                  <c:v>250</c:v>
                </c:pt>
                <c:pt idx="9">
                  <c:v>750</c:v>
                </c:pt>
                <c:pt idx="10">
                  <c:v>1000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Hoja1!$C$32</c:f>
              <c:strCache>
                <c:ptCount val="1"/>
                <c:pt idx="0">
                  <c:v>VENTAS </c:v>
                </c:pt>
              </c:strCache>
            </c:strRef>
          </c:tx>
          <c:marker>
            <c:symbol val="none"/>
          </c:marker>
          <c:val>
            <c:numRef>
              <c:f>Hoja1!$C$33:$C$43</c:f>
              <c:numCache>
                <c:formatCode>General</c:formatCode>
                <c:ptCount val="11"/>
                <c:pt idx="0">
                  <c:v>500</c:v>
                </c:pt>
                <c:pt idx="1">
                  <c:v>1000</c:v>
                </c:pt>
                <c:pt idx="2">
                  <c:v>1500</c:v>
                </c:pt>
                <c:pt idx="3">
                  <c:v>2000</c:v>
                </c:pt>
                <c:pt idx="4">
                  <c:v>2125</c:v>
                </c:pt>
                <c:pt idx="5">
                  <c:v>2250</c:v>
                </c:pt>
                <c:pt idx="6">
                  <c:v>2500</c:v>
                </c:pt>
                <c:pt idx="7">
                  <c:v>2950</c:v>
                </c:pt>
                <c:pt idx="8">
                  <c:v>6250</c:v>
                </c:pt>
                <c:pt idx="9">
                  <c:v>18750</c:v>
                </c:pt>
                <c:pt idx="10">
                  <c:v>25000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Hoja1!$D$32</c:f>
              <c:strCache>
                <c:ptCount val="1"/>
                <c:pt idx="0">
                  <c:v>COSTOS</c:v>
                </c:pt>
              </c:strCache>
            </c:strRef>
          </c:tx>
          <c:marker>
            <c:symbol val="none"/>
          </c:marker>
          <c:val>
            <c:numRef>
              <c:f>Hoja1!$D$33:$D$43</c:f>
              <c:numCache>
                <c:formatCode>_(* #,##0.00_);_(* \(#,##0.00\);_(* "-"??_);_(@_)</c:formatCode>
                <c:ptCount val="11"/>
                <c:pt idx="0">
                  <c:v>2482.8000000000002</c:v>
                </c:pt>
                <c:pt idx="1">
                  <c:v>2576.8000000000002</c:v>
                </c:pt>
                <c:pt idx="2">
                  <c:v>2670.8</c:v>
                </c:pt>
                <c:pt idx="3">
                  <c:v>2764.8</c:v>
                </c:pt>
                <c:pt idx="4">
                  <c:v>2788.3</c:v>
                </c:pt>
                <c:pt idx="5">
                  <c:v>2811.8</c:v>
                </c:pt>
                <c:pt idx="6">
                  <c:v>2858.8</c:v>
                </c:pt>
                <c:pt idx="7">
                  <c:v>2943.4</c:v>
                </c:pt>
                <c:pt idx="8">
                  <c:v>3563.8</c:v>
                </c:pt>
                <c:pt idx="9">
                  <c:v>5913.8</c:v>
                </c:pt>
                <c:pt idx="10">
                  <c:v>7088.8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Hoja1!$E$32</c:f>
              <c:strCache>
                <c:ptCount val="1"/>
                <c:pt idx="0">
                  <c:v>UTILIDAD</c:v>
                </c:pt>
              </c:strCache>
            </c:strRef>
          </c:tx>
          <c:marker>
            <c:symbol val="none"/>
          </c:marker>
          <c:val>
            <c:numRef>
              <c:f>Hoja1!$E$33:$E$43</c:f>
              <c:numCache>
                <c:formatCode>_(* #,##0.00_);_(* \(#,##0.00\);_(* "-"??_);_(@_)</c:formatCode>
                <c:ptCount val="11"/>
                <c:pt idx="0">
                  <c:v>-1982.8000000000002</c:v>
                </c:pt>
                <c:pt idx="1">
                  <c:v>-1576.8000000000002</c:v>
                </c:pt>
                <c:pt idx="2">
                  <c:v>-1170.8000000000002</c:v>
                </c:pt>
                <c:pt idx="3">
                  <c:v>-764.80000000000018</c:v>
                </c:pt>
                <c:pt idx="4">
                  <c:v>-663.30000000000018</c:v>
                </c:pt>
                <c:pt idx="5">
                  <c:v>-561.80000000000018</c:v>
                </c:pt>
                <c:pt idx="6">
                  <c:v>-358.80000000000018</c:v>
                </c:pt>
                <c:pt idx="7">
                  <c:v>6.5999999999999091</c:v>
                </c:pt>
                <c:pt idx="8">
                  <c:v>2686.2</c:v>
                </c:pt>
                <c:pt idx="9">
                  <c:v>12836.2</c:v>
                </c:pt>
                <c:pt idx="10">
                  <c:v>17911.2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96576"/>
        <c:axId val="83914752"/>
      </c:lineChart>
      <c:catAx>
        <c:axId val="8389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83914752"/>
        <c:crosses val="autoZero"/>
        <c:auto val="1"/>
        <c:lblAlgn val="ctr"/>
        <c:lblOffset val="100"/>
        <c:noMultiLvlLbl val="0"/>
      </c:catAx>
      <c:valAx>
        <c:axId val="8391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896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PRESUPUESTO DE GASTOS'!A1"/><Relationship Id="rId13" Type="http://schemas.openxmlformats.org/officeDocument/2006/relationships/hyperlink" Target="#'PUNTO DE EQUILIBRIO'!A1"/><Relationship Id="rId3" Type="http://schemas.openxmlformats.org/officeDocument/2006/relationships/hyperlink" Target="#'AMORTIZACION DE CREDITO'!A1"/><Relationship Id="rId7" Type="http://schemas.openxmlformats.org/officeDocument/2006/relationships/hyperlink" Target="#DEPRECIACION!A1"/><Relationship Id="rId12" Type="http://schemas.openxmlformats.org/officeDocument/2006/relationships/hyperlink" Target="#'COSTO BENEFICIO'!A1"/><Relationship Id="rId2" Type="http://schemas.openxmlformats.org/officeDocument/2006/relationships/hyperlink" Target="#FINANCIAMIENTO!A1"/><Relationship Id="rId1" Type="http://schemas.openxmlformats.org/officeDocument/2006/relationships/hyperlink" Target="#'INVERSION TOTAL'!A1"/><Relationship Id="rId6" Type="http://schemas.openxmlformats.org/officeDocument/2006/relationships/hyperlink" Target="#'GASTOS INDIRECTOS'!A1"/><Relationship Id="rId11" Type="http://schemas.openxmlformats.org/officeDocument/2006/relationships/hyperlink" Target="#'FLUJO DE CAJA ECON FINANCI'!A1"/><Relationship Id="rId5" Type="http://schemas.openxmlformats.org/officeDocument/2006/relationships/hyperlink" Target="#'PLANILLA DE EMPLEADOS'!A1"/><Relationship Id="rId10" Type="http://schemas.openxmlformats.org/officeDocument/2006/relationships/hyperlink" Target="#'BALANCE GENERAL'!A1"/><Relationship Id="rId4" Type="http://schemas.openxmlformats.org/officeDocument/2006/relationships/hyperlink" Target="#'INGRESO POR VENTAS'!A1"/><Relationship Id="rId9" Type="http://schemas.openxmlformats.org/officeDocument/2006/relationships/hyperlink" Target="#'ESTADO DE GANACIAS Y PERDIDA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3</xdr:row>
      <xdr:rowOff>95250</xdr:rowOff>
    </xdr:from>
    <xdr:to>
      <xdr:col>1</xdr:col>
      <xdr:colOff>751500</xdr:colOff>
      <xdr:row>3</xdr:row>
      <xdr:rowOff>256200</xdr:rowOff>
    </xdr:to>
    <xdr:sp macro="" textlink="">
      <xdr:nvSpPr>
        <xdr:cNvPr id="2" name="2 Elipse">
          <a:hlinkClick xmlns:r="http://schemas.openxmlformats.org/officeDocument/2006/relationships" r:id="rId1"/>
        </xdr:cNvPr>
        <xdr:cNvSpPr/>
      </xdr:nvSpPr>
      <xdr:spPr>
        <a:xfrm>
          <a:off x="1323975" y="1038225"/>
          <a:ext cx="189525" cy="16095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561974</xdr:colOff>
      <xdr:row>4</xdr:row>
      <xdr:rowOff>95251</xdr:rowOff>
    </xdr:from>
    <xdr:to>
      <xdr:col>1</xdr:col>
      <xdr:colOff>751499</xdr:colOff>
      <xdr:row>4</xdr:row>
      <xdr:rowOff>256201</xdr:rowOff>
    </xdr:to>
    <xdr:sp macro="" textlink="">
      <xdr:nvSpPr>
        <xdr:cNvPr id="3" name="3 Elipse">
          <a:hlinkClick xmlns:r="http://schemas.openxmlformats.org/officeDocument/2006/relationships" r:id="rId2"/>
        </xdr:cNvPr>
        <xdr:cNvSpPr/>
      </xdr:nvSpPr>
      <xdr:spPr>
        <a:xfrm>
          <a:off x="1323974" y="1371601"/>
          <a:ext cx="189525" cy="16095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561975</xdr:colOff>
      <xdr:row>5</xdr:row>
      <xdr:rowOff>85725</xdr:rowOff>
    </xdr:from>
    <xdr:to>
      <xdr:col>1</xdr:col>
      <xdr:colOff>751500</xdr:colOff>
      <xdr:row>5</xdr:row>
      <xdr:rowOff>256200</xdr:rowOff>
    </xdr:to>
    <xdr:sp macro="" textlink="">
      <xdr:nvSpPr>
        <xdr:cNvPr id="4" name="4 Elipse">
          <a:hlinkClick xmlns:r="http://schemas.openxmlformats.org/officeDocument/2006/relationships" r:id="rId3"/>
        </xdr:cNvPr>
        <xdr:cNvSpPr/>
      </xdr:nvSpPr>
      <xdr:spPr>
        <a:xfrm>
          <a:off x="1323975" y="1695450"/>
          <a:ext cx="189525" cy="170475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552451</xdr:colOff>
      <xdr:row>6</xdr:row>
      <xdr:rowOff>66675</xdr:rowOff>
    </xdr:from>
    <xdr:to>
      <xdr:col>1</xdr:col>
      <xdr:colOff>741976</xdr:colOff>
      <xdr:row>6</xdr:row>
      <xdr:rowOff>246675</xdr:rowOff>
    </xdr:to>
    <xdr:sp macro="" textlink="">
      <xdr:nvSpPr>
        <xdr:cNvPr id="5" name="5 Elipse">
          <a:hlinkClick xmlns:r="http://schemas.openxmlformats.org/officeDocument/2006/relationships" r:id="rId4"/>
        </xdr:cNvPr>
        <xdr:cNvSpPr/>
      </xdr:nvSpPr>
      <xdr:spPr>
        <a:xfrm>
          <a:off x="1314451" y="2009775"/>
          <a:ext cx="189525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561976</xdr:colOff>
      <xdr:row>7</xdr:row>
      <xdr:rowOff>95250</xdr:rowOff>
    </xdr:from>
    <xdr:to>
      <xdr:col>1</xdr:col>
      <xdr:colOff>751501</xdr:colOff>
      <xdr:row>7</xdr:row>
      <xdr:rowOff>275250</xdr:rowOff>
    </xdr:to>
    <xdr:sp macro="" textlink="">
      <xdr:nvSpPr>
        <xdr:cNvPr id="6" name="6 Elipse">
          <a:hlinkClick xmlns:r="http://schemas.openxmlformats.org/officeDocument/2006/relationships" r:id="rId5"/>
        </xdr:cNvPr>
        <xdr:cNvSpPr/>
      </xdr:nvSpPr>
      <xdr:spPr>
        <a:xfrm>
          <a:off x="1323976" y="2371725"/>
          <a:ext cx="189525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542926</xdr:colOff>
      <xdr:row>8</xdr:row>
      <xdr:rowOff>123825</xdr:rowOff>
    </xdr:from>
    <xdr:to>
      <xdr:col>1</xdr:col>
      <xdr:colOff>732451</xdr:colOff>
      <xdr:row>8</xdr:row>
      <xdr:rowOff>303825</xdr:rowOff>
    </xdr:to>
    <xdr:sp macro="" textlink="">
      <xdr:nvSpPr>
        <xdr:cNvPr id="7" name="7 Elipse">
          <a:hlinkClick xmlns:r="http://schemas.openxmlformats.org/officeDocument/2006/relationships" r:id="rId6"/>
        </xdr:cNvPr>
        <xdr:cNvSpPr/>
      </xdr:nvSpPr>
      <xdr:spPr>
        <a:xfrm>
          <a:off x="1304926" y="2733675"/>
          <a:ext cx="189525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552451</xdr:colOff>
      <xdr:row>9</xdr:row>
      <xdr:rowOff>133351</xdr:rowOff>
    </xdr:from>
    <xdr:to>
      <xdr:col>1</xdr:col>
      <xdr:colOff>741976</xdr:colOff>
      <xdr:row>9</xdr:row>
      <xdr:rowOff>313351</xdr:rowOff>
    </xdr:to>
    <xdr:sp macro="" textlink="">
      <xdr:nvSpPr>
        <xdr:cNvPr id="8" name="8 Elipse">
          <a:hlinkClick xmlns:r="http://schemas.openxmlformats.org/officeDocument/2006/relationships" r:id="rId7"/>
        </xdr:cNvPr>
        <xdr:cNvSpPr/>
      </xdr:nvSpPr>
      <xdr:spPr>
        <a:xfrm>
          <a:off x="1314451" y="3076576"/>
          <a:ext cx="189525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552451</xdr:colOff>
      <xdr:row>10</xdr:row>
      <xdr:rowOff>123826</xdr:rowOff>
    </xdr:from>
    <xdr:to>
      <xdr:col>1</xdr:col>
      <xdr:colOff>741976</xdr:colOff>
      <xdr:row>10</xdr:row>
      <xdr:rowOff>294301</xdr:rowOff>
    </xdr:to>
    <xdr:sp macro="" textlink="">
      <xdr:nvSpPr>
        <xdr:cNvPr id="9" name="9 Elipse">
          <a:hlinkClick xmlns:r="http://schemas.openxmlformats.org/officeDocument/2006/relationships" r:id="rId8"/>
        </xdr:cNvPr>
        <xdr:cNvSpPr/>
      </xdr:nvSpPr>
      <xdr:spPr>
        <a:xfrm>
          <a:off x="1314451" y="3400426"/>
          <a:ext cx="189525" cy="170475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552451</xdr:colOff>
      <xdr:row>11</xdr:row>
      <xdr:rowOff>85725</xdr:rowOff>
    </xdr:from>
    <xdr:to>
      <xdr:col>1</xdr:col>
      <xdr:colOff>741976</xdr:colOff>
      <xdr:row>11</xdr:row>
      <xdr:rowOff>265725</xdr:rowOff>
    </xdr:to>
    <xdr:sp macro="" textlink="">
      <xdr:nvSpPr>
        <xdr:cNvPr id="10" name="10 Elipse">
          <a:hlinkClick xmlns:r="http://schemas.openxmlformats.org/officeDocument/2006/relationships" r:id="rId9"/>
        </xdr:cNvPr>
        <xdr:cNvSpPr/>
      </xdr:nvSpPr>
      <xdr:spPr>
        <a:xfrm>
          <a:off x="1314451" y="3695700"/>
          <a:ext cx="189525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7</xdr:col>
      <xdr:colOff>228601</xdr:colOff>
      <xdr:row>3</xdr:row>
      <xdr:rowOff>123826</xdr:rowOff>
    </xdr:from>
    <xdr:to>
      <xdr:col>7</xdr:col>
      <xdr:colOff>408601</xdr:colOff>
      <xdr:row>3</xdr:row>
      <xdr:rowOff>303826</xdr:rowOff>
    </xdr:to>
    <xdr:sp macro="" textlink="">
      <xdr:nvSpPr>
        <xdr:cNvPr id="11" name="11 Elipse">
          <a:hlinkClick xmlns:r="http://schemas.openxmlformats.org/officeDocument/2006/relationships" r:id="rId10"/>
        </xdr:cNvPr>
        <xdr:cNvSpPr/>
      </xdr:nvSpPr>
      <xdr:spPr>
        <a:xfrm>
          <a:off x="5924551" y="1066801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7</xdr:col>
      <xdr:colOff>228601</xdr:colOff>
      <xdr:row>4</xdr:row>
      <xdr:rowOff>114301</xdr:rowOff>
    </xdr:from>
    <xdr:to>
      <xdr:col>7</xdr:col>
      <xdr:colOff>408601</xdr:colOff>
      <xdr:row>4</xdr:row>
      <xdr:rowOff>294301</xdr:rowOff>
    </xdr:to>
    <xdr:sp macro="" textlink="">
      <xdr:nvSpPr>
        <xdr:cNvPr id="12" name="12 Elipse">
          <a:hlinkClick xmlns:r="http://schemas.openxmlformats.org/officeDocument/2006/relationships" r:id="rId11"/>
        </xdr:cNvPr>
        <xdr:cNvSpPr/>
      </xdr:nvSpPr>
      <xdr:spPr>
        <a:xfrm>
          <a:off x="5924551" y="1390651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7</xdr:col>
      <xdr:colOff>209550</xdr:colOff>
      <xdr:row>5</xdr:row>
      <xdr:rowOff>133351</xdr:rowOff>
    </xdr:from>
    <xdr:to>
      <xdr:col>7</xdr:col>
      <xdr:colOff>389550</xdr:colOff>
      <xdr:row>5</xdr:row>
      <xdr:rowOff>313351</xdr:rowOff>
    </xdr:to>
    <xdr:sp macro="" textlink="">
      <xdr:nvSpPr>
        <xdr:cNvPr id="13" name="13 Elipse">
          <a:hlinkClick xmlns:r="http://schemas.openxmlformats.org/officeDocument/2006/relationships" r:id="rId12"/>
        </xdr:cNvPr>
        <xdr:cNvSpPr/>
      </xdr:nvSpPr>
      <xdr:spPr>
        <a:xfrm>
          <a:off x="5905500" y="1743076"/>
          <a:ext cx="180000" cy="180000"/>
        </a:xfrm>
        <a:prstGeom prst="ellipse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7</xdr:col>
      <xdr:colOff>219076</xdr:colOff>
      <xdr:row>6</xdr:row>
      <xdr:rowOff>152401</xdr:rowOff>
    </xdr:from>
    <xdr:to>
      <xdr:col>7</xdr:col>
      <xdr:colOff>399076</xdr:colOff>
      <xdr:row>6</xdr:row>
      <xdr:rowOff>332401</xdr:rowOff>
    </xdr:to>
    <xdr:sp macro="" textlink="">
      <xdr:nvSpPr>
        <xdr:cNvPr id="14" name="14 Elipse">
          <a:hlinkClick xmlns:r="http://schemas.openxmlformats.org/officeDocument/2006/relationships" r:id="rId13"/>
        </xdr:cNvPr>
        <xdr:cNvSpPr/>
      </xdr:nvSpPr>
      <xdr:spPr>
        <a:xfrm>
          <a:off x="5915026" y="2095501"/>
          <a:ext cx="180000" cy="180000"/>
        </a:xfrm>
        <a:prstGeom prst="ellips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9526</xdr:colOff>
      <xdr:row>0</xdr:row>
      <xdr:rowOff>161926</xdr:rowOff>
    </xdr:from>
    <xdr:to>
      <xdr:col>13</xdr:col>
      <xdr:colOff>9525</xdr:colOff>
      <xdr:row>2</xdr:row>
      <xdr:rowOff>238126</xdr:rowOff>
    </xdr:to>
    <xdr:sp macro="" textlink="">
      <xdr:nvSpPr>
        <xdr:cNvPr id="20" name="1 Título"/>
        <xdr:cNvSpPr>
          <a:spLocks noGrp="1"/>
        </xdr:cNvSpPr>
      </xdr:nvSpPr>
      <xdr:spPr>
        <a:xfrm>
          <a:off x="771526" y="161926"/>
          <a:ext cx="8705849" cy="685800"/>
        </a:xfrm>
        <a:prstGeom prst="rect">
          <a:avLst/>
        </a:prstGeom>
        <a:solidFill>
          <a:srgbClr val="FFC000"/>
        </a:solidFill>
      </xdr:spPr>
      <xdr:txBody>
        <a:bodyPr vert="horz" wrap="square" lIns="45720" tIns="0" rIns="45720" bIns="0" anchor="ctr" anchorCtr="0">
          <a:noAutofit/>
        </a:bodyPr>
        <a:lstStyle>
          <a:lvl1pPr algn="r" rtl="0" eaLnBrk="1" latinLnBrk="0" hangingPunct="1">
            <a:spcBef>
              <a:spcPct val="0"/>
            </a:spcBef>
            <a:buNone/>
            <a:defRPr kumimoji="0" sz="4200" b="1" kern="1200" cap="all" baseline="0">
              <a:ln w="500">
                <a:solidFill>
                  <a:schemeClr val="tx2">
                    <a:shade val="20000"/>
                    <a:satMod val="120000"/>
                  </a:schemeClr>
                </a:solidFill>
              </a:ln>
              <a:gradFill>
                <a:gsLst>
                  <a:gs pos="0">
                    <a:schemeClr val="accent4">
                      <a:tint val="13000"/>
                    </a:schemeClr>
                  </a:gs>
                  <a:gs pos="10000">
                    <a:schemeClr val="accent4">
                      <a:tint val="20000"/>
                    </a:schemeClr>
                  </a:gs>
                  <a:gs pos="49000">
                    <a:schemeClr val="accent4">
                      <a:tint val="70000"/>
                    </a:schemeClr>
                  </a:gs>
                  <a:gs pos="50000">
                    <a:schemeClr val="accent4">
                      <a:tint val="97000"/>
                    </a:schemeClr>
                  </a:gs>
                  <a:gs pos="100000">
                    <a:schemeClr val="accent4">
                      <a:tint val="20000"/>
                    </a:schemeClr>
                  </a:gs>
                </a:gsLst>
                <a:lin ang="5400000" scaled="1"/>
              </a:gra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j-lt"/>
              <a:ea typeface="+mj-ea"/>
              <a:cs typeface="+mj-cs"/>
            </a:defRPr>
          </a:lvl1pPr>
          <a:extLst/>
        </a:lstStyle>
        <a:p>
          <a:pPr algn="ctr"/>
          <a:r>
            <a:rPr lang="es-PE" sz="4400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Book Antiqua" pitchFamily="18" charset="0"/>
            </a:rPr>
            <a:t>TABLA DE CONTENIDO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923925</xdr:colOff>
      <xdr:row>23</xdr:row>
      <xdr:rowOff>95250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0" y="2457450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1</xdr:row>
      <xdr:rowOff>47625</xdr:rowOff>
    </xdr:from>
    <xdr:to>
      <xdr:col>8</xdr:col>
      <xdr:colOff>466725</xdr:colOff>
      <xdr:row>2</xdr:row>
      <xdr:rowOff>390525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9944100" y="257175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0</xdr:rowOff>
    </xdr:from>
    <xdr:to>
      <xdr:col>0</xdr:col>
      <xdr:colOff>923925</xdr:colOff>
      <xdr:row>27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0" y="4105275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  <xdr:twoCellAnchor editAs="oneCell">
    <xdr:from>
      <xdr:col>2</xdr:col>
      <xdr:colOff>198120</xdr:colOff>
      <xdr:row>19</xdr:row>
      <xdr:rowOff>76201</xdr:rowOff>
    </xdr:from>
    <xdr:to>
      <xdr:col>8</xdr:col>
      <xdr:colOff>327660</xdr:colOff>
      <xdr:row>29</xdr:row>
      <xdr:rowOff>114301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278" t="48051" r="46777" b="29451"/>
        <a:stretch/>
      </xdr:blipFill>
      <xdr:spPr>
        <a:xfrm>
          <a:off x="2842260" y="3169921"/>
          <a:ext cx="5113020" cy="1851660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29</xdr:row>
      <xdr:rowOff>83820</xdr:rowOff>
    </xdr:from>
    <xdr:to>
      <xdr:col>6</xdr:col>
      <xdr:colOff>373380</xdr:colOff>
      <xdr:row>33</xdr:row>
      <xdr:rowOff>22860</xdr:rowOff>
    </xdr:to>
    <xdr:sp macro="" textlink="">
      <xdr:nvSpPr>
        <xdr:cNvPr id="4" name="3 Rectángulo"/>
        <xdr:cNvSpPr/>
      </xdr:nvSpPr>
      <xdr:spPr>
        <a:xfrm>
          <a:off x="3025140" y="4991100"/>
          <a:ext cx="3192780" cy="54102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 b="1"/>
            <a:t>TIR (+)</a:t>
          </a:r>
          <a:r>
            <a:rPr lang="es-PE" sz="1100" b="1" baseline="0"/>
            <a:t> = ACEPTADA </a:t>
          </a:r>
        </a:p>
        <a:p>
          <a:pPr algn="l"/>
          <a:r>
            <a:rPr lang="es-PE" sz="1100" b="1" baseline="0"/>
            <a:t>TIR(-)= SE RECHAZA EL PROYECTO </a:t>
          </a:r>
          <a:endParaRPr lang="es-PE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2</xdr:row>
      <xdr:rowOff>180975</xdr:rowOff>
    </xdr:from>
    <xdr:to>
      <xdr:col>2</xdr:col>
      <xdr:colOff>1390650</xdr:colOff>
      <xdr:row>6</xdr:row>
      <xdr:rowOff>38100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9267825" y="180975"/>
          <a:ext cx="971550" cy="619125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161925</xdr:colOff>
      <xdr:row>2</xdr:row>
      <xdr:rowOff>190500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5772150" y="0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0</xdr:rowOff>
    </xdr:from>
    <xdr:to>
      <xdr:col>0</xdr:col>
      <xdr:colOff>923925</xdr:colOff>
      <xdr:row>18</xdr:row>
      <xdr:rowOff>66675</xdr:rowOff>
    </xdr:to>
    <xdr:sp macro="" textlink="">
      <xdr:nvSpPr>
        <xdr:cNvPr id="4" name="3 Rectángulo redondeado">
          <a:hlinkClick xmlns:r="http://schemas.openxmlformats.org/officeDocument/2006/relationships" r:id="rId1"/>
        </xdr:cNvPr>
        <xdr:cNvSpPr/>
      </xdr:nvSpPr>
      <xdr:spPr>
        <a:xfrm>
          <a:off x="0" y="9448800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  <xdr:twoCellAnchor>
    <xdr:from>
      <xdr:col>8</xdr:col>
      <xdr:colOff>19050</xdr:colOff>
      <xdr:row>37</xdr:row>
      <xdr:rowOff>114300</xdr:rowOff>
    </xdr:from>
    <xdr:to>
      <xdr:col>14</xdr:col>
      <xdr:colOff>457200</xdr:colOff>
      <xdr:row>55</xdr:row>
      <xdr:rowOff>66675</xdr:rowOff>
    </xdr:to>
    <xdr:pic>
      <xdr:nvPicPr>
        <xdr:cNvPr id="24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0293" t="20604" r="26523" b="29121"/>
        <a:stretch>
          <a:fillRect/>
        </a:stretch>
      </xdr:blipFill>
      <xdr:spPr bwMode="auto">
        <a:xfrm>
          <a:off x="5762625" y="6657975"/>
          <a:ext cx="441007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171450</xdr:colOff>
      <xdr:row>38</xdr:row>
      <xdr:rowOff>104775</xdr:rowOff>
    </xdr:from>
    <xdr:to>
      <xdr:col>14</xdr:col>
      <xdr:colOff>609600</xdr:colOff>
      <xdr:row>56</xdr:row>
      <xdr:rowOff>57150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0293" t="20604" r="26523" b="29121"/>
        <a:stretch>
          <a:fillRect/>
        </a:stretch>
      </xdr:blipFill>
      <xdr:spPr bwMode="auto">
        <a:xfrm>
          <a:off x="8201025" y="7191375"/>
          <a:ext cx="5086350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26</xdr:row>
      <xdr:rowOff>85725</xdr:rowOff>
    </xdr:from>
    <xdr:to>
      <xdr:col>13</xdr:col>
      <xdr:colOff>0</xdr:colOff>
      <xdr:row>46</xdr:row>
      <xdr:rowOff>100012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923925</xdr:colOff>
      <xdr:row>3</xdr:row>
      <xdr:rowOff>19050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6724650" y="171450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161925</xdr:colOff>
      <xdr:row>4</xdr:row>
      <xdr:rowOff>9525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5581650" y="352425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76200</xdr:colOff>
      <xdr:row>3</xdr:row>
      <xdr:rowOff>47625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5600700" y="0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  <xdr:twoCellAnchor editAs="oneCell">
    <xdr:from>
      <xdr:col>6</xdr:col>
      <xdr:colOff>971269</xdr:colOff>
      <xdr:row>12</xdr:row>
      <xdr:rowOff>76200</xdr:rowOff>
    </xdr:from>
    <xdr:to>
      <xdr:col>11</xdr:col>
      <xdr:colOff>266699</xdr:colOff>
      <xdr:row>27</xdr:row>
      <xdr:rowOff>55839</xdr:rowOff>
    </xdr:to>
    <xdr:pic>
      <xdr:nvPicPr>
        <xdr:cNvPr id="1966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6328" t="9861" r="29551" b="31213"/>
        <a:stretch>
          <a:fillRect/>
        </a:stretch>
      </xdr:blipFill>
      <xdr:spPr bwMode="auto">
        <a:xfrm>
          <a:off x="5600419" y="2124075"/>
          <a:ext cx="3400706" cy="25513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66676</xdr:colOff>
      <xdr:row>4</xdr:row>
      <xdr:rowOff>9527</xdr:rowOff>
    </xdr:from>
    <xdr:to>
      <xdr:col>16</xdr:col>
      <xdr:colOff>581025</xdr:colOff>
      <xdr:row>27</xdr:row>
      <xdr:rowOff>57151</xdr:rowOff>
    </xdr:to>
    <xdr:pic>
      <xdr:nvPicPr>
        <xdr:cNvPr id="198657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t="9583" r="13023" b="7361"/>
        <a:stretch/>
      </xdr:blipFill>
      <xdr:spPr bwMode="auto">
        <a:xfrm>
          <a:off x="9563101" y="685802"/>
          <a:ext cx="3562349" cy="3990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440266</xdr:colOff>
      <xdr:row>1</xdr:row>
      <xdr:rowOff>25399</xdr:rowOff>
    </xdr:from>
    <xdr:to>
      <xdr:col>6</xdr:col>
      <xdr:colOff>541866</xdr:colOff>
      <xdr:row>9</xdr:row>
      <xdr:rowOff>8466</xdr:rowOff>
    </xdr:to>
    <xdr:sp macro="" textlink="">
      <xdr:nvSpPr>
        <xdr:cNvPr id="3" name="2 Rectángulo"/>
        <xdr:cNvSpPr/>
      </xdr:nvSpPr>
      <xdr:spPr>
        <a:xfrm>
          <a:off x="2861733" y="160866"/>
          <a:ext cx="2463800" cy="133773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rgbClr val="FF0000"/>
              </a:solidFill>
            </a:rPr>
            <a:t>CREDITO</a:t>
          </a:r>
          <a:r>
            <a:rPr lang="es-PE" sz="1100" baseline="0">
              <a:solidFill>
                <a:srgbClr val="FF0000"/>
              </a:solidFill>
            </a:rPr>
            <a:t> X 1 AÑO</a:t>
          </a:r>
        </a:p>
        <a:p>
          <a:pPr algn="l"/>
          <a:r>
            <a:rPr lang="es-PE" sz="1100" baseline="0">
              <a:solidFill>
                <a:srgbClr val="FF0000"/>
              </a:solidFill>
            </a:rPr>
            <a:t>1 AÑO = 12 MESES </a:t>
          </a:r>
        </a:p>
        <a:p>
          <a:pPr algn="l"/>
          <a:r>
            <a:rPr lang="es-PE" sz="1100" baseline="0">
              <a:solidFill>
                <a:srgbClr val="FF0000"/>
              </a:solidFill>
            </a:rPr>
            <a:t>TEA=15%</a:t>
          </a:r>
        </a:p>
        <a:p>
          <a:pPr algn="l"/>
          <a:r>
            <a:rPr lang="es-PE" sz="1100" baseline="0">
              <a:solidFill>
                <a:srgbClr val="FF0000"/>
              </a:solidFill>
            </a:rPr>
            <a:t>TEM=1.17</a:t>
          </a:r>
          <a:endParaRPr lang="es-PE" sz="1100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0</xdr:col>
      <xdr:colOff>923925</xdr:colOff>
      <xdr:row>14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0" y="8991600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161925</xdr:colOff>
      <xdr:row>3</xdr:row>
      <xdr:rowOff>57150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6743700" y="0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  <xdr:twoCellAnchor editAs="oneCell">
    <xdr:from>
      <xdr:col>4</xdr:col>
      <xdr:colOff>0</xdr:colOff>
      <xdr:row>32</xdr:row>
      <xdr:rowOff>142875</xdr:rowOff>
    </xdr:from>
    <xdr:to>
      <xdr:col>21</xdr:col>
      <xdr:colOff>104775</xdr:colOff>
      <xdr:row>78</xdr:row>
      <xdr:rowOff>9525</xdr:rowOff>
    </xdr:to>
    <xdr:pic>
      <xdr:nvPicPr>
        <xdr:cNvPr id="1147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0575" y="5991225"/>
          <a:ext cx="12954000" cy="7315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161925</xdr:colOff>
      <xdr:row>6</xdr:row>
      <xdr:rowOff>57150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5476875" y="0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161925</xdr:colOff>
      <xdr:row>2</xdr:row>
      <xdr:rowOff>152400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7553325" y="0"/>
          <a:ext cx="923925" cy="5524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156730</xdr:rowOff>
    </xdr:from>
    <xdr:to>
      <xdr:col>0</xdr:col>
      <xdr:colOff>923925</xdr:colOff>
      <xdr:row>32</xdr:row>
      <xdr:rowOff>58882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0" y="5040457"/>
          <a:ext cx="923925" cy="560243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E" sz="1100" b="1">
              <a:latin typeface="Book Antiqua" pitchFamily="18" charset="0"/>
            </a:rPr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Escala de grises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4"/>
  <sheetViews>
    <sheetView showGridLines="0" zoomScale="60" zoomScaleNormal="60" workbookViewId="0"/>
  </sheetViews>
  <sheetFormatPr baseColWidth="10" defaultColWidth="11.42578125" defaultRowHeight="26.25" x14ac:dyDescent="0.4"/>
  <cols>
    <col min="1" max="1" width="11.42578125" style="78" customWidth="1"/>
    <col min="2" max="2" width="11.5703125" style="78" customWidth="1"/>
    <col min="3" max="3" width="7" style="87" bestFit="1" customWidth="1"/>
    <col min="4" max="6" width="11.42578125" style="78"/>
    <col min="7" max="7" width="23.5703125" style="78" customWidth="1"/>
    <col min="8" max="8" width="8" style="89" bestFit="1" customWidth="1"/>
    <col min="9" max="9" width="4.42578125" style="90" bestFit="1" customWidth="1"/>
    <col min="10" max="16384" width="11.42578125" style="78"/>
  </cols>
  <sheetData>
    <row r="2" spans="1:22" ht="21.75" x14ac:dyDescent="0.35"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</row>
    <row r="3" spans="1:22" x14ac:dyDescent="0.4">
      <c r="Q3" s="89"/>
      <c r="R3" s="90"/>
    </row>
    <row r="4" spans="1:22" x14ac:dyDescent="0.4">
      <c r="C4" s="87">
        <v>1</v>
      </c>
      <c r="D4" s="88" t="s">
        <v>169</v>
      </c>
      <c r="E4" s="88"/>
      <c r="F4" s="88"/>
      <c r="G4" s="88"/>
      <c r="H4" s="89">
        <v>10</v>
      </c>
      <c r="I4" s="90">
        <v>11</v>
      </c>
      <c r="J4" s="88" t="s">
        <v>166</v>
      </c>
      <c r="K4" s="88"/>
      <c r="L4" s="88"/>
      <c r="Q4" s="89">
        <v>10</v>
      </c>
      <c r="R4" s="90"/>
      <c r="S4" s="88"/>
      <c r="T4" s="88"/>
      <c r="U4" s="88"/>
    </row>
    <row r="5" spans="1:22" x14ac:dyDescent="0.4">
      <c r="C5" s="87">
        <v>2</v>
      </c>
      <c r="D5" s="88" t="s">
        <v>163</v>
      </c>
      <c r="E5" s="88"/>
      <c r="F5" s="88"/>
      <c r="G5" s="88"/>
      <c r="H5" s="89">
        <v>11</v>
      </c>
      <c r="I5" s="90">
        <v>12</v>
      </c>
      <c r="J5" s="88" t="s">
        <v>226</v>
      </c>
      <c r="K5" s="88"/>
      <c r="L5" s="88"/>
      <c r="Q5" s="89">
        <v>11</v>
      </c>
      <c r="R5" s="90"/>
      <c r="S5" s="88"/>
      <c r="T5" s="88"/>
      <c r="U5" s="88"/>
    </row>
    <row r="6" spans="1:22" x14ac:dyDescent="0.4">
      <c r="C6" s="87">
        <v>3</v>
      </c>
      <c r="D6" s="88" t="s">
        <v>153</v>
      </c>
      <c r="E6" s="88"/>
      <c r="F6" s="88"/>
      <c r="G6" s="88"/>
      <c r="H6" s="89">
        <v>12</v>
      </c>
      <c r="I6" s="90">
        <v>13</v>
      </c>
      <c r="J6" s="88" t="s">
        <v>170</v>
      </c>
      <c r="K6" s="88"/>
      <c r="L6" s="88"/>
      <c r="Q6" s="89">
        <v>12</v>
      </c>
      <c r="R6" s="90"/>
      <c r="S6" s="88"/>
      <c r="T6" s="88"/>
      <c r="U6" s="88"/>
    </row>
    <row r="7" spans="1:22" x14ac:dyDescent="0.4">
      <c r="A7" s="88"/>
      <c r="C7" s="87">
        <v>4</v>
      </c>
      <c r="D7" s="88" t="s">
        <v>164</v>
      </c>
      <c r="E7" s="88"/>
      <c r="F7" s="88"/>
      <c r="G7" s="88"/>
      <c r="H7" s="89">
        <v>13</v>
      </c>
      <c r="I7" s="90">
        <v>14</v>
      </c>
      <c r="J7" s="88" t="s">
        <v>108</v>
      </c>
      <c r="K7" s="88"/>
      <c r="L7" s="88"/>
      <c r="Q7" s="89">
        <v>13</v>
      </c>
      <c r="R7" s="90"/>
      <c r="S7" s="88"/>
      <c r="T7" s="88"/>
      <c r="U7" s="88"/>
    </row>
    <row r="8" spans="1:22" x14ac:dyDescent="0.4">
      <c r="A8" s="88"/>
      <c r="C8" s="87">
        <v>5</v>
      </c>
      <c r="D8" s="88" t="s">
        <v>174</v>
      </c>
      <c r="E8" s="88"/>
      <c r="F8" s="88"/>
      <c r="G8" s="88"/>
      <c r="J8" s="88"/>
      <c r="K8" s="88"/>
      <c r="L8" s="88"/>
      <c r="Q8" s="89">
        <v>14</v>
      </c>
      <c r="R8" s="90"/>
      <c r="S8" s="88"/>
      <c r="T8" s="88"/>
      <c r="U8" s="88"/>
    </row>
    <row r="9" spans="1:22" x14ac:dyDescent="0.4">
      <c r="A9" s="88"/>
      <c r="C9" s="87">
        <v>6</v>
      </c>
      <c r="D9" s="88" t="s">
        <v>165</v>
      </c>
      <c r="E9" s="88"/>
      <c r="F9" s="88"/>
      <c r="G9" s="88"/>
      <c r="J9" s="88"/>
      <c r="K9" s="88"/>
      <c r="L9" s="88"/>
      <c r="Q9" s="89">
        <v>15</v>
      </c>
      <c r="R9" s="90"/>
      <c r="S9" s="88"/>
      <c r="T9" s="88"/>
      <c r="U9" s="88"/>
    </row>
    <row r="10" spans="1:22" x14ac:dyDescent="0.4">
      <c r="A10" s="88"/>
      <c r="C10" s="87">
        <v>7</v>
      </c>
      <c r="D10" s="88" t="s">
        <v>171</v>
      </c>
      <c r="E10" s="88"/>
      <c r="F10" s="88"/>
      <c r="G10" s="88"/>
      <c r="J10" s="88"/>
      <c r="K10" s="88"/>
      <c r="L10" s="88"/>
      <c r="Q10" s="89">
        <v>16</v>
      </c>
      <c r="R10" s="90"/>
      <c r="S10" s="88"/>
      <c r="T10" s="88"/>
      <c r="U10" s="88"/>
    </row>
    <row r="11" spans="1:22" x14ac:dyDescent="0.4">
      <c r="A11" s="88"/>
      <c r="C11" s="87">
        <v>8</v>
      </c>
      <c r="D11" s="88" t="s">
        <v>53</v>
      </c>
      <c r="E11" s="88"/>
      <c r="F11" s="88"/>
      <c r="G11" s="88"/>
      <c r="J11" s="88"/>
      <c r="K11" s="88"/>
      <c r="L11" s="88"/>
      <c r="Q11" s="89">
        <v>17</v>
      </c>
      <c r="R11" s="90"/>
      <c r="S11" s="88"/>
      <c r="T11" s="88"/>
      <c r="U11" s="88"/>
    </row>
    <row r="12" spans="1:22" x14ac:dyDescent="0.4">
      <c r="A12" s="88"/>
      <c r="C12" s="87">
        <v>9</v>
      </c>
      <c r="D12" s="88" t="s">
        <v>172</v>
      </c>
      <c r="E12" s="88"/>
      <c r="F12" s="88"/>
      <c r="G12" s="88"/>
      <c r="H12" s="89">
        <v>18</v>
      </c>
      <c r="J12" s="88"/>
      <c r="K12" s="88"/>
      <c r="L12" s="88"/>
      <c r="Q12" s="89">
        <v>18</v>
      </c>
      <c r="R12" s="90"/>
      <c r="S12" s="88"/>
      <c r="T12" s="88"/>
      <c r="U12" s="88"/>
    </row>
    <row r="13" spans="1:22" ht="27" thickBot="1" x14ac:dyDescent="0.45">
      <c r="B13" s="179"/>
      <c r="C13" s="178"/>
      <c r="D13" s="257"/>
      <c r="E13" s="179"/>
      <c r="F13" s="179"/>
      <c r="G13" s="179"/>
      <c r="H13" s="180"/>
      <c r="I13" s="181"/>
      <c r="J13" s="257"/>
      <c r="K13" s="179"/>
      <c r="L13" s="179"/>
      <c r="M13" s="179"/>
      <c r="Q13" s="180"/>
      <c r="R13" s="181"/>
      <c r="S13" s="257"/>
      <c r="T13" s="179"/>
      <c r="U13" s="179"/>
      <c r="V13" s="179"/>
    </row>
    <row r="14" spans="1:22" ht="27" thickTop="1" x14ac:dyDescent="0.4"/>
  </sheetData>
  <mergeCells count="1">
    <mergeCell ref="C2:O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BWX29"/>
  <sheetViews>
    <sheetView showGridLines="0" zoomScale="98" zoomScaleNormal="98" workbookViewId="0">
      <pane ySplit="1" topLeftCell="A5" activePane="bottomLeft" state="frozen"/>
      <selection pane="bottomLeft" activeCell="B30" sqref="B30"/>
    </sheetView>
  </sheetViews>
  <sheetFormatPr baseColWidth="10" defaultColWidth="11.42578125" defaultRowHeight="12.75" x14ac:dyDescent="0.25"/>
  <cols>
    <col min="1" max="1" width="31.85546875" style="27" customWidth="1"/>
    <col min="2" max="2" width="26.28515625" style="27" customWidth="1"/>
    <col min="3" max="3" width="14" style="27" customWidth="1"/>
    <col min="4" max="4" width="12.7109375" style="27" customWidth="1"/>
    <col min="5" max="7" width="9.7109375" style="27" bestFit="1" customWidth="1"/>
    <col min="8" max="8" width="10.85546875" style="27" customWidth="1"/>
    <col min="9" max="11" width="9.7109375" style="27" bestFit="1" customWidth="1"/>
    <col min="12" max="12" width="11.140625" style="27" customWidth="1"/>
    <col min="13" max="13" width="11.5703125" style="27" customWidth="1"/>
    <col min="14" max="14" width="14.5703125" style="27" customWidth="1"/>
    <col min="15" max="15" width="15.7109375" style="27" bestFit="1" customWidth="1"/>
    <col min="16" max="16384" width="11.42578125" style="27"/>
  </cols>
  <sheetData>
    <row r="1" spans="1:1974" ht="13.5" x14ac:dyDescent="0.3">
      <c r="A1" s="31" t="s">
        <v>53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  <c r="M1" s="32"/>
    </row>
    <row r="2" spans="1:1974" ht="13.5" x14ac:dyDescent="0.3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2"/>
      <c r="M2" s="32"/>
    </row>
    <row r="3" spans="1:1974" ht="30" customHeight="1" x14ac:dyDescent="0.25">
      <c r="A3" s="142" t="s">
        <v>54</v>
      </c>
      <c r="B3" s="142">
        <v>1</v>
      </c>
      <c r="C3" s="142">
        <v>2</v>
      </c>
      <c r="D3" s="142">
        <v>3</v>
      </c>
      <c r="E3" s="142">
        <v>4</v>
      </c>
      <c r="F3" s="142">
        <v>5</v>
      </c>
      <c r="G3" s="142">
        <v>6</v>
      </c>
      <c r="H3" s="142">
        <v>7</v>
      </c>
      <c r="I3" s="142">
        <v>8</v>
      </c>
      <c r="J3" s="142">
        <v>9</v>
      </c>
      <c r="K3" s="142">
        <v>10</v>
      </c>
      <c r="L3" s="142">
        <v>11</v>
      </c>
      <c r="M3" s="142">
        <v>12</v>
      </c>
      <c r="N3" s="508" t="s">
        <v>303</v>
      </c>
    </row>
    <row r="4" spans="1:1974" ht="13.5" x14ac:dyDescent="0.3">
      <c r="A4" s="145" t="s">
        <v>339</v>
      </c>
      <c r="B4" s="79">
        <f>B13+B5</f>
        <v>3746.5</v>
      </c>
      <c r="C4" s="79">
        <f t="shared" ref="C4:M4" si="0">C13+C5</f>
        <v>3746.5</v>
      </c>
      <c r="D4" s="79">
        <f t="shared" si="0"/>
        <v>3746.5</v>
      </c>
      <c r="E4" s="79">
        <f t="shared" si="0"/>
        <v>3746.5</v>
      </c>
      <c r="F4" s="79">
        <f t="shared" si="0"/>
        <v>3746.5</v>
      </c>
      <c r="G4" s="79">
        <f t="shared" si="0"/>
        <v>3746.5</v>
      </c>
      <c r="H4" s="79">
        <f t="shared" si="0"/>
        <v>4673</v>
      </c>
      <c r="I4" s="79">
        <f t="shared" si="0"/>
        <v>3746.5</v>
      </c>
      <c r="J4" s="79">
        <f t="shared" si="0"/>
        <v>3746.5</v>
      </c>
      <c r="K4" s="79">
        <f t="shared" si="0"/>
        <v>3746.5</v>
      </c>
      <c r="L4" s="79">
        <f t="shared" si="0"/>
        <v>3746.5</v>
      </c>
      <c r="M4" s="79">
        <f t="shared" si="0"/>
        <v>4673</v>
      </c>
    </row>
    <row r="5" spans="1:1974" s="3" customFormat="1" x14ac:dyDescent="0.25">
      <c r="A5" s="310" t="s">
        <v>55</v>
      </c>
      <c r="B5" s="477">
        <f>B6+B9</f>
        <v>2846.5</v>
      </c>
      <c r="C5" s="477">
        <f t="shared" ref="C5:M5" si="1">C6+C9</f>
        <v>2846.5</v>
      </c>
      <c r="D5" s="477">
        <f t="shared" si="1"/>
        <v>2846.5</v>
      </c>
      <c r="E5" s="477">
        <f t="shared" si="1"/>
        <v>2846.5</v>
      </c>
      <c r="F5" s="477">
        <f t="shared" si="1"/>
        <v>2846.5</v>
      </c>
      <c r="G5" s="477">
        <f t="shared" si="1"/>
        <v>2846.5</v>
      </c>
      <c r="H5" s="477">
        <f t="shared" si="1"/>
        <v>3773</v>
      </c>
      <c r="I5" s="477">
        <f t="shared" si="1"/>
        <v>2846.5</v>
      </c>
      <c r="J5" s="477">
        <f t="shared" si="1"/>
        <v>2846.5</v>
      </c>
      <c r="K5" s="477">
        <f t="shared" si="1"/>
        <v>2846.5</v>
      </c>
      <c r="L5" s="477">
        <f t="shared" si="1"/>
        <v>2846.5</v>
      </c>
      <c r="M5" s="477">
        <f t="shared" si="1"/>
        <v>3773</v>
      </c>
      <c r="N5" s="506">
        <f>SUM(B5:M5)</f>
        <v>36011</v>
      </c>
    </row>
    <row r="6" spans="1:1974" x14ac:dyDescent="0.25">
      <c r="A6" s="146" t="s">
        <v>61</v>
      </c>
      <c r="B6" s="80">
        <f>B7</f>
        <v>1920</v>
      </c>
      <c r="C6" s="80">
        <f>C7</f>
        <v>1920</v>
      </c>
      <c r="D6" s="80">
        <f t="shared" ref="D6:M6" si="2">D7</f>
        <v>1920</v>
      </c>
      <c r="E6" s="80">
        <f t="shared" si="2"/>
        <v>1920</v>
      </c>
      <c r="F6" s="80">
        <f t="shared" si="2"/>
        <v>1920</v>
      </c>
      <c r="G6" s="80">
        <f t="shared" si="2"/>
        <v>1920</v>
      </c>
      <c r="H6" s="80">
        <f t="shared" si="2"/>
        <v>1920</v>
      </c>
      <c r="I6" s="80">
        <f t="shared" si="2"/>
        <v>1920</v>
      </c>
      <c r="J6" s="80">
        <f t="shared" si="2"/>
        <v>1920</v>
      </c>
      <c r="K6" s="80">
        <f t="shared" si="2"/>
        <v>1920</v>
      </c>
      <c r="L6" s="80">
        <f t="shared" si="2"/>
        <v>1920</v>
      </c>
      <c r="M6" s="80">
        <f t="shared" si="2"/>
        <v>1920</v>
      </c>
    </row>
    <row r="7" spans="1:1974" s="309" customFormat="1" x14ac:dyDescent="0.25">
      <c r="A7" s="396" t="s">
        <v>341</v>
      </c>
      <c r="B7" s="397">
        <f>'INVERSION TOTAL'!E48-'INVERSION TOTAL'!E51-'INVERSION TOTAL'!E53</f>
        <v>1920</v>
      </c>
      <c r="C7" s="397">
        <f>B7</f>
        <v>1920</v>
      </c>
      <c r="D7" s="397">
        <f>C7</f>
        <v>1920</v>
      </c>
      <c r="E7" s="397">
        <f t="shared" ref="E7:M7" si="3">D7</f>
        <v>1920</v>
      </c>
      <c r="F7" s="397">
        <f t="shared" si="3"/>
        <v>1920</v>
      </c>
      <c r="G7" s="397">
        <f t="shared" si="3"/>
        <v>1920</v>
      </c>
      <c r="H7" s="397">
        <f t="shared" si="3"/>
        <v>1920</v>
      </c>
      <c r="I7" s="397">
        <f t="shared" si="3"/>
        <v>1920</v>
      </c>
      <c r="J7" s="397">
        <f t="shared" si="3"/>
        <v>1920</v>
      </c>
      <c r="K7" s="397">
        <f t="shared" si="3"/>
        <v>1920</v>
      </c>
      <c r="L7" s="397">
        <f t="shared" si="3"/>
        <v>1920</v>
      </c>
      <c r="M7" s="397">
        <f t="shared" si="3"/>
        <v>1920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</row>
    <row r="8" spans="1:1974" x14ac:dyDescent="0.25">
      <c r="A8" s="35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974" s="3" customFormat="1" x14ac:dyDescent="0.25">
      <c r="A9" s="311" t="s">
        <v>71</v>
      </c>
      <c r="B9" s="81">
        <f>B10+B11</f>
        <v>926.5</v>
      </c>
      <c r="C9" s="81">
        <f t="shared" ref="C9:M9" si="4">C10+C11</f>
        <v>926.5</v>
      </c>
      <c r="D9" s="81">
        <f t="shared" si="4"/>
        <v>926.5</v>
      </c>
      <c r="E9" s="81">
        <f t="shared" si="4"/>
        <v>926.5</v>
      </c>
      <c r="F9" s="81">
        <f t="shared" si="4"/>
        <v>926.5</v>
      </c>
      <c r="G9" s="81">
        <f t="shared" si="4"/>
        <v>926.5</v>
      </c>
      <c r="H9" s="81">
        <f t="shared" si="4"/>
        <v>1853</v>
      </c>
      <c r="I9" s="81">
        <f t="shared" si="4"/>
        <v>926.5</v>
      </c>
      <c r="J9" s="81">
        <f t="shared" si="4"/>
        <v>926.5</v>
      </c>
      <c r="K9" s="81">
        <f t="shared" si="4"/>
        <v>926.5</v>
      </c>
      <c r="L9" s="81">
        <f t="shared" si="4"/>
        <v>926.5</v>
      </c>
      <c r="M9" s="81">
        <f t="shared" si="4"/>
        <v>1853</v>
      </c>
    </row>
    <row r="10" spans="1:1974" x14ac:dyDescent="0.25">
      <c r="A10" s="35" t="s">
        <v>340</v>
      </c>
      <c r="B10" s="80">
        <f>'PLANILLA DE EMPLEADOS'!K6</f>
        <v>926.5</v>
      </c>
      <c r="C10" s="80">
        <f>B10</f>
        <v>926.5</v>
      </c>
      <c r="D10" s="80">
        <f t="shared" ref="D10:M10" si="5">C10</f>
        <v>926.5</v>
      </c>
      <c r="E10" s="80">
        <f t="shared" si="5"/>
        <v>926.5</v>
      </c>
      <c r="F10" s="80">
        <f t="shared" si="5"/>
        <v>926.5</v>
      </c>
      <c r="G10" s="80">
        <f t="shared" si="5"/>
        <v>926.5</v>
      </c>
      <c r="H10" s="80">
        <f t="shared" si="5"/>
        <v>926.5</v>
      </c>
      <c r="I10" s="80">
        <f t="shared" si="5"/>
        <v>926.5</v>
      </c>
      <c r="J10" s="80">
        <f t="shared" si="5"/>
        <v>926.5</v>
      </c>
      <c r="K10" s="80">
        <f t="shared" si="5"/>
        <v>926.5</v>
      </c>
      <c r="L10" s="80">
        <f t="shared" si="5"/>
        <v>926.5</v>
      </c>
      <c r="M10" s="80">
        <f t="shared" si="5"/>
        <v>926.5</v>
      </c>
    </row>
    <row r="11" spans="1:1974" x14ac:dyDescent="0.25">
      <c r="A11" s="34" t="s">
        <v>70</v>
      </c>
      <c r="B11" s="80"/>
      <c r="C11" s="80"/>
      <c r="D11" s="80"/>
      <c r="E11" s="80"/>
      <c r="F11" s="80"/>
      <c r="G11" s="80"/>
      <c r="H11" s="80">
        <f>B10</f>
        <v>926.5</v>
      </c>
      <c r="I11" s="80"/>
      <c r="J11" s="80"/>
      <c r="K11" s="80"/>
      <c r="L11" s="80"/>
      <c r="M11" s="80">
        <f>B10</f>
        <v>926.5</v>
      </c>
    </row>
    <row r="12" spans="1:1974" x14ac:dyDescent="0.25">
      <c r="A12" s="34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974" s="3" customFormat="1" x14ac:dyDescent="0.25">
      <c r="A13" s="310" t="s">
        <v>57</v>
      </c>
      <c r="B13" s="477">
        <f>B14+B15</f>
        <v>900</v>
      </c>
      <c r="C13" s="477">
        <f t="shared" ref="C13:M13" si="6">C14+C15</f>
        <v>900</v>
      </c>
      <c r="D13" s="477">
        <f t="shared" si="6"/>
        <v>900</v>
      </c>
      <c r="E13" s="477">
        <f t="shared" si="6"/>
        <v>900</v>
      </c>
      <c r="F13" s="477">
        <f t="shared" si="6"/>
        <v>900</v>
      </c>
      <c r="G13" s="477">
        <f t="shared" si="6"/>
        <v>900</v>
      </c>
      <c r="H13" s="477">
        <f t="shared" si="6"/>
        <v>900</v>
      </c>
      <c r="I13" s="477">
        <f t="shared" si="6"/>
        <v>900</v>
      </c>
      <c r="J13" s="477">
        <f t="shared" si="6"/>
        <v>900</v>
      </c>
      <c r="K13" s="477">
        <f t="shared" si="6"/>
        <v>900</v>
      </c>
      <c r="L13" s="477">
        <f t="shared" si="6"/>
        <v>900</v>
      </c>
      <c r="M13" s="477">
        <f t="shared" si="6"/>
        <v>900</v>
      </c>
      <c r="N13" s="506">
        <f>SUM(B13:M13)</f>
        <v>10800</v>
      </c>
    </row>
    <row r="14" spans="1:1974" x14ac:dyDescent="0.25">
      <c r="A14" s="35" t="s">
        <v>375</v>
      </c>
      <c r="B14" s="81">
        <v>200</v>
      </c>
      <c r="C14" s="80">
        <f>B14</f>
        <v>200</v>
      </c>
      <c r="D14" s="80">
        <f t="shared" ref="D14:M14" si="7">C14</f>
        <v>200</v>
      </c>
      <c r="E14" s="80">
        <f t="shared" si="7"/>
        <v>200</v>
      </c>
      <c r="F14" s="80">
        <f t="shared" si="7"/>
        <v>200</v>
      </c>
      <c r="G14" s="80">
        <f t="shared" si="7"/>
        <v>200</v>
      </c>
      <c r="H14" s="80">
        <f t="shared" si="7"/>
        <v>200</v>
      </c>
      <c r="I14" s="80">
        <f t="shared" si="7"/>
        <v>200</v>
      </c>
      <c r="J14" s="80">
        <f t="shared" si="7"/>
        <v>200</v>
      </c>
      <c r="K14" s="80">
        <f t="shared" si="7"/>
        <v>200</v>
      </c>
      <c r="L14" s="80">
        <f t="shared" si="7"/>
        <v>200</v>
      </c>
      <c r="M14" s="80">
        <f t="shared" si="7"/>
        <v>200</v>
      </c>
    </row>
    <row r="15" spans="1:1974" x14ac:dyDescent="0.25">
      <c r="A15" s="34" t="s">
        <v>72</v>
      </c>
      <c r="B15" s="80">
        <v>700</v>
      </c>
      <c r="C15" s="80">
        <f>B15</f>
        <v>700</v>
      </c>
      <c r="D15" s="80">
        <f t="shared" ref="D15:M15" si="8">C15</f>
        <v>700</v>
      </c>
      <c r="E15" s="80">
        <f t="shared" si="8"/>
        <v>700</v>
      </c>
      <c r="F15" s="80">
        <f t="shared" si="8"/>
        <v>700</v>
      </c>
      <c r="G15" s="80">
        <f t="shared" si="8"/>
        <v>700</v>
      </c>
      <c r="H15" s="80">
        <f t="shared" si="8"/>
        <v>700</v>
      </c>
      <c r="I15" s="80">
        <f t="shared" si="8"/>
        <v>700</v>
      </c>
      <c r="J15" s="80">
        <f t="shared" si="8"/>
        <v>700</v>
      </c>
      <c r="K15" s="80">
        <f t="shared" si="8"/>
        <v>700</v>
      </c>
      <c r="L15" s="80">
        <f t="shared" si="8"/>
        <v>700</v>
      </c>
      <c r="M15" s="80">
        <f t="shared" si="8"/>
        <v>700</v>
      </c>
    </row>
    <row r="16" spans="1:1974" ht="13.5" x14ac:dyDescent="0.3">
      <c r="A16" s="34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80"/>
      <c r="M16" s="80"/>
    </row>
    <row r="17" spans="1:15" ht="13.5" x14ac:dyDescent="0.3">
      <c r="A17" s="145" t="s">
        <v>58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5" s="3" customFormat="1" x14ac:dyDescent="0.25">
      <c r="A18" s="312" t="s">
        <v>59</v>
      </c>
      <c r="B18" s="477">
        <f t="shared" ref="B18:M18" si="9">SUM(B19:B20)</f>
        <v>200</v>
      </c>
      <c r="C18" s="477">
        <f t="shared" si="9"/>
        <v>200</v>
      </c>
      <c r="D18" s="477">
        <f t="shared" si="9"/>
        <v>200</v>
      </c>
      <c r="E18" s="477">
        <f t="shared" si="9"/>
        <v>200</v>
      </c>
      <c r="F18" s="477">
        <f t="shared" si="9"/>
        <v>200</v>
      </c>
      <c r="G18" s="477">
        <f t="shared" si="9"/>
        <v>200</v>
      </c>
      <c r="H18" s="477">
        <f t="shared" si="9"/>
        <v>200</v>
      </c>
      <c r="I18" s="477">
        <f t="shared" si="9"/>
        <v>200</v>
      </c>
      <c r="J18" s="477">
        <f t="shared" si="9"/>
        <v>200</v>
      </c>
      <c r="K18" s="477">
        <f t="shared" si="9"/>
        <v>200</v>
      </c>
      <c r="L18" s="477">
        <f t="shared" si="9"/>
        <v>200</v>
      </c>
      <c r="M18" s="477">
        <f t="shared" si="9"/>
        <v>200</v>
      </c>
      <c r="N18" s="506">
        <f>SUM(B18:M18)</f>
        <v>2400</v>
      </c>
    </row>
    <row r="19" spans="1:15" x14ac:dyDescent="0.25">
      <c r="A19" s="133" t="str">
        <f>+'GASTOS INDIRECTOS'!A13</f>
        <v>Publicidad( volantes)</v>
      </c>
      <c r="B19" s="80">
        <v>50</v>
      </c>
      <c r="C19" s="81">
        <f>B19</f>
        <v>50</v>
      </c>
      <c r="D19" s="81">
        <f t="shared" ref="D19:M19" si="10">C19</f>
        <v>50</v>
      </c>
      <c r="E19" s="81">
        <f t="shared" si="10"/>
        <v>50</v>
      </c>
      <c r="F19" s="81">
        <f t="shared" si="10"/>
        <v>50</v>
      </c>
      <c r="G19" s="81">
        <f t="shared" si="10"/>
        <v>50</v>
      </c>
      <c r="H19" s="81">
        <f t="shared" si="10"/>
        <v>50</v>
      </c>
      <c r="I19" s="81">
        <f t="shared" si="10"/>
        <v>50</v>
      </c>
      <c r="J19" s="81">
        <f t="shared" si="10"/>
        <v>50</v>
      </c>
      <c r="K19" s="81">
        <f t="shared" si="10"/>
        <v>50</v>
      </c>
      <c r="L19" s="81">
        <f t="shared" si="10"/>
        <v>50</v>
      </c>
      <c r="M19" s="81">
        <f t="shared" si="10"/>
        <v>50</v>
      </c>
    </row>
    <row r="20" spans="1:15" x14ac:dyDescent="0.25">
      <c r="A20" s="133" t="str">
        <f>+'GASTOS INDIRECTOS'!A14</f>
        <v>Radio</v>
      </c>
      <c r="B20" s="80">
        <v>150</v>
      </c>
      <c r="C20" s="81">
        <f t="shared" ref="C20:M20" si="11">B20</f>
        <v>150</v>
      </c>
      <c r="D20" s="81">
        <f t="shared" si="11"/>
        <v>150</v>
      </c>
      <c r="E20" s="81">
        <f t="shared" si="11"/>
        <v>150</v>
      </c>
      <c r="F20" s="81">
        <f t="shared" si="11"/>
        <v>150</v>
      </c>
      <c r="G20" s="81">
        <f t="shared" si="11"/>
        <v>150</v>
      </c>
      <c r="H20" s="81">
        <f t="shared" si="11"/>
        <v>150</v>
      </c>
      <c r="I20" s="81">
        <f t="shared" si="11"/>
        <v>150</v>
      </c>
      <c r="J20" s="81">
        <f t="shared" si="11"/>
        <v>150</v>
      </c>
      <c r="K20" s="81">
        <f t="shared" si="11"/>
        <v>150</v>
      </c>
      <c r="L20" s="81">
        <f t="shared" si="11"/>
        <v>150</v>
      </c>
      <c r="M20" s="81">
        <f t="shared" si="11"/>
        <v>150</v>
      </c>
    </row>
    <row r="21" spans="1:15" x14ac:dyDescent="0.25">
      <c r="A21" s="34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5" s="3" customFormat="1" x14ac:dyDescent="0.25">
      <c r="A22" s="312" t="s">
        <v>60</v>
      </c>
      <c r="B22" s="477">
        <f>B23+B24+B25</f>
        <v>1288.8023333333333</v>
      </c>
      <c r="C22" s="477">
        <f t="shared" ref="C22:M22" si="12">C23+C24+C25</f>
        <v>1288.8023333333333</v>
      </c>
      <c r="D22" s="477">
        <f t="shared" si="12"/>
        <v>1288.8023333333333</v>
      </c>
      <c r="E22" s="477">
        <f t="shared" si="12"/>
        <v>1288.8023333333333</v>
      </c>
      <c r="F22" s="477">
        <f t="shared" si="12"/>
        <v>1288.8023333333333</v>
      </c>
      <c r="G22" s="477">
        <f t="shared" si="12"/>
        <v>1288.8023333333333</v>
      </c>
      <c r="H22" s="477">
        <f t="shared" si="12"/>
        <v>2378.8023333333335</v>
      </c>
      <c r="I22" s="477">
        <f t="shared" si="12"/>
        <v>1288.8023333333333</v>
      </c>
      <c r="J22" s="477">
        <f t="shared" si="12"/>
        <v>1288.8023333333333</v>
      </c>
      <c r="K22" s="477">
        <f t="shared" si="12"/>
        <v>1288.8023333333333</v>
      </c>
      <c r="L22" s="477">
        <f t="shared" si="12"/>
        <v>1288.8023333333333</v>
      </c>
      <c r="M22" s="477">
        <f t="shared" si="12"/>
        <v>2378.8023333333335</v>
      </c>
      <c r="N22" s="506">
        <f>SUM(B22:M22)</f>
        <v>17645.628000000001</v>
      </c>
    </row>
    <row r="23" spans="1:15" x14ac:dyDescent="0.25">
      <c r="A23" s="35" t="s">
        <v>247</v>
      </c>
      <c r="B23" s="80">
        <f>'PLANILLA DE EMPLEADOS'!K16</f>
        <v>1090</v>
      </c>
      <c r="C23" s="80">
        <f>B23</f>
        <v>1090</v>
      </c>
      <c r="D23" s="80">
        <f t="shared" ref="D23:M23" si="13">C23</f>
        <v>1090</v>
      </c>
      <c r="E23" s="80">
        <f t="shared" si="13"/>
        <v>1090</v>
      </c>
      <c r="F23" s="80">
        <f t="shared" si="13"/>
        <v>1090</v>
      </c>
      <c r="G23" s="80">
        <f t="shared" si="13"/>
        <v>1090</v>
      </c>
      <c r="H23" s="80">
        <f t="shared" si="13"/>
        <v>1090</v>
      </c>
      <c r="I23" s="80">
        <f t="shared" si="13"/>
        <v>1090</v>
      </c>
      <c r="J23" s="80">
        <f t="shared" si="13"/>
        <v>1090</v>
      </c>
      <c r="K23" s="80">
        <f t="shared" si="13"/>
        <v>1090</v>
      </c>
      <c r="L23" s="80">
        <f t="shared" si="13"/>
        <v>1090</v>
      </c>
      <c r="M23" s="80">
        <f t="shared" si="13"/>
        <v>1090</v>
      </c>
    </row>
    <row r="24" spans="1:15" x14ac:dyDescent="0.25">
      <c r="A24" s="34" t="s">
        <v>70</v>
      </c>
      <c r="B24" s="80"/>
      <c r="C24" s="80"/>
      <c r="D24" s="80"/>
      <c r="E24" s="80"/>
      <c r="F24" s="80"/>
      <c r="G24" s="80"/>
      <c r="H24" s="80">
        <f>B23</f>
        <v>1090</v>
      </c>
      <c r="I24" s="80"/>
      <c r="J24" s="80"/>
      <c r="K24" s="80"/>
      <c r="L24" s="80"/>
      <c r="M24" s="80">
        <f>B23</f>
        <v>1090</v>
      </c>
    </row>
    <row r="25" spans="1:15" ht="15.75" x14ac:dyDescent="0.25">
      <c r="A25" s="35" t="s">
        <v>78</v>
      </c>
      <c r="B25" s="81">
        <f>DEPRECIACION!H18</f>
        <v>198.80233333333334</v>
      </c>
      <c r="C25" s="81">
        <f>B25</f>
        <v>198.80233333333334</v>
      </c>
      <c r="D25" s="81">
        <f t="shared" ref="D25:M25" si="14">C25</f>
        <v>198.80233333333334</v>
      </c>
      <c r="E25" s="81">
        <f t="shared" si="14"/>
        <v>198.80233333333334</v>
      </c>
      <c r="F25" s="81">
        <f t="shared" si="14"/>
        <v>198.80233333333334</v>
      </c>
      <c r="G25" s="81">
        <f t="shared" si="14"/>
        <v>198.80233333333334</v>
      </c>
      <c r="H25" s="81">
        <f t="shared" si="14"/>
        <v>198.80233333333334</v>
      </c>
      <c r="I25" s="81">
        <f t="shared" si="14"/>
        <v>198.80233333333334</v>
      </c>
      <c r="J25" s="81">
        <f t="shared" si="14"/>
        <v>198.80233333333334</v>
      </c>
      <c r="K25" s="81">
        <f t="shared" si="14"/>
        <v>198.80233333333334</v>
      </c>
      <c r="L25" s="81">
        <f t="shared" si="14"/>
        <v>198.80233333333334</v>
      </c>
      <c r="M25" s="81">
        <f t="shared" si="14"/>
        <v>198.80233333333334</v>
      </c>
      <c r="N25" s="510" t="s">
        <v>304</v>
      </c>
      <c r="O25" s="511">
        <f>SUM(N5,N13,N18,N22,)</f>
        <v>66856.627999999997</v>
      </c>
    </row>
    <row r="26" spans="1:15" x14ac:dyDescent="0.25">
      <c r="O26" s="40"/>
    </row>
    <row r="29" spans="1:15" x14ac:dyDescent="0.25">
      <c r="E29" s="40">
        <f>SUM(B18,G22,B13)</f>
        <v>2388.8023333333331</v>
      </c>
    </row>
  </sheetData>
  <pageMargins left="0.7" right="0.7" top="0.75" bottom="0.75" header="0.3" footer="0.3"/>
  <pageSetup paperSize="9" orientation="portrait" verticalDpi="0" r:id="rId1"/>
  <ignoredErrors>
    <ignoredError sqref="H24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T51"/>
  <sheetViews>
    <sheetView showGridLines="0" zoomScale="118" zoomScaleNormal="118" workbookViewId="0">
      <pane ySplit="1" topLeftCell="A2" activePane="bottomLeft" state="frozen"/>
      <selection pane="bottomLeft" activeCell="E19" sqref="E19"/>
    </sheetView>
  </sheetViews>
  <sheetFormatPr baseColWidth="10" defaultColWidth="11.42578125" defaultRowHeight="12" customHeight="1" x14ac:dyDescent="0.25"/>
  <cols>
    <col min="1" max="1" width="44.42578125" style="27" customWidth="1"/>
    <col min="2" max="2" width="10.5703125" style="27" customWidth="1"/>
    <col min="3" max="3" width="15.140625" style="27" customWidth="1"/>
    <col min="4" max="4" width="22" style="27" customWidth="1"/>
    <col min="5" max="13" width="10.5703125" style="27" customWidth="1"/>
    <col min="14" max="16384" width="11.42578125" style="27"/>
  </cols>
  <sheetData>
    <row r="1" spans="1:20" ht="12" customHeight="1" x14ac:dyDescent="0.3">
      <c r="A1" s="46" t="s">
        <v>79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20" ht="12" customHeight="1" x14ac:dyDescent="0.3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</row>
    <row r="3" spans="1:20" ht="12" customHeight="1" x14ac:dyDescent="0.25">
      <c r="A3" s="142" t="s">
        <v>54</v>
      </c>
      <c r="B3" s="142">
        <v>1</v>
      </c>
      <c r="C3" s="142">
        <v>2</v>
      </c>
      <c r="D3" s="142">
        <v>3</v>
      </c>
      <c r="E3" s="142">
        <v>4</v>
      </c>
      <c r="F3" s="142">
        <v>5</v>
      </c>
      <c r="G3" s="142">
        <v>6</v>
      </c>
      <c r="H3" s="142">
        <v>7</v>
      </c>
      <c r="I3" s="142">
        <v>8</v>
      </c>
      <c r="J3" s="142">
        <v>9</v>
      </c>
      <c r="K3" s="142">
        <v>10</v>
      </c>
      <c r="L3" s="142">
        <v>11</v>
      </c>
      <c r="M3" s="142">
        <v>12</v>
      </c>
      <c r="N3" s="52" t="s">
        <v>319</v>
      </c>
    </row>
    <row r="4" spans="1:20" ht="12" customHeight="1" x14ac:dyDescent="0.3">
      <c r="A4" s="47" t="s">
        <v>293</v>
      </c>
      <c r="B4" s="352">
        <f>'INGRESO POR VENTAS'!C10</f>
        <v>15000</v>
      </c>
      <c r="C4" s="352">
        <f>'INGRESO POR VENTAS'!D10</f>
        <v>15000</v>
      </c>
      <c r="D4" s="352">
        <f>'INGRESO POR VENTAS'!E10</f>
        <v>15000</v>
      </c>
      <c r="E4" s="352">
        <f>'INGRESO POR VENTAS'!F10</f>
        <v>15000</v>
      </c>
      <c r="F4" s="352">
        <f>'INGRESO POR VENTAS'!G10</f>
        <v>15000</v>
      </c>
      <c r="G4" s="352">
        <f>'INGRESO POR VENTAS'!H10</f>
        <v>15000</v>
      </c>
      <c r="H4" s="352">
        <f>'INGRESO POR VENTAS'!I10</f>
        <v>15000</v>
      </c>
      <c r="I4" s="352">
        <f>'INGRESO POR VENTAS'!J10</f>
        <v>15000</v>
      </c>
      <c r="J4" s="352">
        <f>'INGRESO POR VENTAS'!K10</f>
        <v>15000</v>
      </c>
      <c r="K4" s="352">
        <f>'INGRESO POR VENTAS'!L10</f>
        <v>15000</v>
      </c>
      <c r="L4" s="352">
        <f>'INGRESO POR VENTAS'!M10</f>
        <v>15000</v>
      </c>
      <c r="M4" s="352">
        <f>'INGRESO POR VENTAS'!N10</f>
        <v>15000</v>
      </c>
    </row>
    <row r="5" spans="1:20" ht="12" customHeight="1" x14ac:dyDescent="0.3">
      <c r="A5" s="459" t="s">
        <v>236</v>
      </c>
      <c r="B5" s="460">
        <f>B6+B7+B8</f>
        <v>3746.5</v>
      </c>
      <c r="C5" s="460">
        <f t="shared" ref="C5:M5" si="0">C6+C7+C8</f>
        <v>3746.5</v>
      </c>
      <c r="D5" s="460">
        <f t="shared" si="0"/>
        <v>3746.5</v>
      </c>
      <c r="E5" s="460">
        <f t="shared" si="0"/>
        <v>3746.5</v>
      </c>
      <c r="F5" s="460">
        <f t="shared" si="0"/>
        <v>3746.5</v>
      </c>
      <c r="G5" s="460">
        <f t="shared" si="0"/>
        <v>3746.5</v>
      </c>
      <c r="H5" s="460">
        <f t="shared" si="0"/>
        <v>4673</v>
      </c>
      <c r="I5" s="460">
        <f t="shared" si="0"/>
        <v>3746.5</v>
      </c>
      <c r="J5" s="460">
        <f t="shared" si="0"/>
        <v>3746.5</v>
      </c>
      <c r="K5" s="460">
        <f t="shared" si="0"/>
        <v>3746.5</v>
      </c>
      <c r="L5" s="460">
        <f t="shared" si="0"/>
        <v>3746.5</v>
      </c>
      <c r="M5" s="460">
        <f t="shared" si="0"/>
        <v>4673</v>
      </c>
      <c r="N5" s="520">
        <f>SUM(B5:M5)</f>
        <v>46811</v>
      </c>
    </row>
    <row r="6" spans="1:20" ht="12" customHeight="1" x14ac:dyDescent="0.25">
      <c r="A6" s="48" t="s">
        <v>82</v>
      </c>
      <c r="B6" s="353">
        <f>'PRESUPUESTO DE GASTOS'!B9</f>
        <v>926.5</v>
      </c>
      <c r="C6" s="353">
        <f>'PRESUPUESTO DE GASTOS'!C9</f>
        <v>926.5</v>
      </c>
      <c r="D6" s="353">
        <f>'PRESUPUESTO DE GASTOS'!D9</f>
        <v>926.5</v>
      </c>
      <c r="E6" s="353">
        <f>'PRESUPUESTO DE GASTOS'!E9</f>
        <v>926.5</v>
      </c>
      <c r="F6" s="353">
        <f>'PRESUPUESTO DE GASTOS'!F9</f>
        <v>926.5</v>
      </c>
      <c r="G6" s="353">
        <f>'PRESUPUESTO DE GASTOS'!G9</f>
        <v>926.5</v>
      </c>
      <c r="H6" s="353">
        <f>'PRESUPUESTO DE GASTOS'!H9</f>
        <v>1853</v>
      </c>
      <c r="I6" s="353">
        <f>'PRESUPUESTO DE GASTOS'!I9</f>
        <v>926.5</v>
      </c>
      <c r="J6" s="353">
        <f>'PRESUPUESTO DE GASTOS'!J9</f>
        <v>926.5</v>
      </c>
      <c r="K6" s="353">
        <f>'PRESUPUESTO DE GASTOS'!K9</f>
        <v>926.5</v>
      </c>
      <c r="L6" s="353">
        <f>'PRESUPUESTO DE GASTOS'!L9</f>
        <v>926.5</v>
      </c>
      <c r="M6" s="353">
        <f>'PRESUPUESTO DE GASTOS'!M9</f>
        <v>1853</v>
      </c>
    </row>
    <row r="7" spans="1:20" s="297" customFormat="1" ht="12" customHeight="1" x14ac:dyDescent="0.25">
      <c r="A7" s="354" t="s">
        <v>62</v>
      </c>
      <c r="B7" s="355">
        <f>'PRESUPUESTO DE GASTOS'!B7</f>
        <v>1920</v>
      </c>
      <c r="C7" s="355">
        <f>'PRESUPUESTO DE GASTOS'!C7</f>
        <v>1920</v>
      </c>
      <c r="D7" s="355">
        <f>'PRESUPUESTO DE GASTOS'!D7</f>
        <v>1920</v>
      </c>
      <c r="E7" s="355">
        <f>'PRESUPUESTO DE GASTOS'!E7</f>
        <v>1920</v>
      </c>
      <c r="F7" s="355">
        <f>'PRESUPUESTO DE GASTOS'!F7</f>
        <v>1920</v>
      </c>
      <c r="G7" s="355">
        <f>'PRESUPUESTO DE GASTOS'!G7</f>
        <v>1920</v>
      </c>
      <c r="H7" s="355">
        <f>'PRESUPUESTO DE GASTOS'!H7</f>
        <v>1920</v>
      </c>
      <c r="I7" s="355">
        <f>'PRESUPUESTO DE GASTOS'!I7</f>
        <v>1920</v>
      </c>
      <c r="J7" s="355">
        <f>'PRESUPUESTO DE GASTOS'!J7</f>
        <v>1920</v>
      </c>
      <c r="K7" s="355">
        <f>'PRESUPUESTO DE GASTOS'!K7</f>
        <v>1920</v>
      </c>
      <c r="L7" s="355">
        <f>'PRESUPUESTO DE GASTOS'!L7</f>
        <v>1920</v>
      </c>
      <c r="M7" s="355">
        <f>'PRESUPUESTO DE GASTOS'!M7</f>
        <v>1920</v>
      </c>
      <c r="N7" s="356"/>
      <c r="O7" s="356"/>
      <c r="P7" s="356"/>
      <c r="Q7" s="356"/>
      <c r="R7" s="356"/>
      <c r="S7" s="356"/>
      <c r="T7" s="356"/>
    </row>
    <row r="8" spans="1:20" ht="12" customHeight="1" x14ac:dyDescent="0.25">
      <c r="A8" s="50" t="s">
        <v>83</v>
      </c>
      <c r="B8" s="353">
        <f>'PRESUPUESTO DE GASTOS'!B13</f>
        <v>900</v>
      </c>
      <c r="C8" s="353">
        <f>'PRESUPUESTO DE GASTOS'!C13</f>
        <v>900</v>
      </c>
      <c r="D8" s="353">
        <f>'PRESUPUESTO DE GASTOS'!D13</f>
        <v>900</v>
      </c>
      <c r="E8" s="353">
        <f>'PRESUPUESTO DE GASTOS'!E13</f>
        <v>900</v>
      </c>
      <c r="F8" s="353">
        <f>'PRESUPUESTO DE GASTOS'!F13</f>
        <v>900</v>
      </c>
      <c r="G8" s="353">
        <f>'PRESUPUESTO DE GASTOS'!G13</f>
        <v>900</v>
      </c>
      <c r="H8" s="353">
        <f>'PRESUPUESTO DE GASTOS'!H13</f>
        <v>900</v>
      </c>
      <c r="I8" s="353">
        <f>'PRESUPUESTO DE GASTOS'!I13</f>
        <v>900</v>
      </c>
      <c r="J8" s="353">
        <f>'PRESUPUESTO DE GASTOS'!J13</f>
        <v>900</v>
      </c>
      <c r="K8" s="353">
        <f>'PRESUPUESTO DE GASTOS'!K13</f>
        <v>900</v>
      </c>
      <c r="L8" s="353">
        <f>'PRESUPUESTO DE GASTOS'!L13</f>
        <v>900</v>
      </c>
      <c r="M8" s="353">
        <f>'PRESUPUESTO DE GASTOS'!M13</f>
        <v>900</v>
      </c>
    </row>
    <row r="9" spans="1:20" ht="12" customHeight="1" x14ac:dyDescent="0.3">
      <c r="A9" s="459" t="s">
        <v>80</v>
      </c>
      <c r="B9" s="460">
        <f>+B4-B5</f>
        <v>11253.5</v>
      </c>
      <c r="C9" s="460">
        <f t="shared" ref="C9:M9" si="1">+C4-C5</f>
        <v>11253.5</v>
      </c>
      <c r="D9" s="460">
        <f t="shared" si="1"/>
        <v>11253.5</v>
      </c>
      <c r="E9" s="460">
        <f t="shared" si="1"/>
        <v>11253.5</v>
      </c>
      <c r="F9" s="460">
        <f t="shared" si="1"/>
        <v>11253.5</v>
      </c>
      <c r="G9" s="460">
        <f t="shared" si="1"/>
        <v>11253.5</v>
      </c>
      <c r="H9" s="460">
        <f t="shared" si="1"/>
        <v>10327</v>
      </c>
      <c r="I9" s="460">
        <f t="shared" si="1"/>
        <v>11253.5</v>
      </c>
      <c r="J9" s="460">
        <f t="shared" si="1"/>
        <v>11253.5</v>
      </c>
      <c r="K9" s="460">
        <f t="shared" si="1"/>
        <v>11253.5</v>
      </c>
      <c r="L9" s="460">
        <f t="shared" si="1"/>
        <v>11253.5</v>
      </c>
      <c r="M9" s="460">
        <f t="shared" si="1"/>
        <v>10327</v>
      </c>
      <c r="N9" s="520">
        <f>SUM(B9:M9)</f>
        <v>133189</v>
      </c>
    </row>
    <row r="10" spans="1:20" ht="12" customHeight="1" x14ac:dyDescent="0.25">
      <c r="A10" s="50" t="s">
        <v>84</v>
      </c>
      <c r="B10" s="82">
        <f>'PRESUPUESTO DE GASTOS'!B23</f>
        <v>1090</v>
      </c>
      <c r="C10" s="82">
        <f>'PRESUPUESTO DE GASTOS'!C23</f>
        <v>1090</v>
      </c>
      <c r="D10" s="82">
        <f>'PRESUPUESTO DE GASTOS'!D23</f>
        <v>1090</v>
      </c>
      <c r="E10" s="82">
        <f>'PRESUPUESTO DE GASTOS'!E23</f>
        <v>1090</v>
      </c>
      <c r="F10" s="82">
        <f>'PRESUPUESTO DE GASTOS'!F23</f>
        <v>1090</v>
      </c>
      <c r="G10" s="82">
        <f>'PRESUPUESTO DE GASTOS'!G23</f>
        <v>1090</v>
      </c>
      <c r="H10" s="82">
        <f>'PRESUPUESTO DE GASTOS'!H23+'PRESUPUESTO DE GASTOS'!H24</f>
        <v>2180</v>
      </c>
      <c r="I10" s="82">
        <f>'PRESUPUESTO DE GASTOS'!I23</f>
        <v>1090</v>
      </c>
      <c r="J10" s="82">
        <f>'PRESUPUESTO DE GASTOS'!J23</f>
        <v>1090</v>
      </c>
      <c r="K10" s="82">
        <f>'PRESUPUESTO DE GASTOS'!K23</f>
        <v>1090</v>
      </c>
      <c r="L10" s="82">
        <f>'PRESUPUESTO DE GASTOS'!L23</f>
        <v>1090</v>
      </c>
      <c r="M10" s="82">
        <f>'PRESUPUESTO DE GASTOS'!M23+'PRESUPUESTO DE GASTOS'!M24</f>
        <v>2180</v>
      </c>
    </row>
    <row r="11" spans="1:20" ht="12" customHeight="1" x14ac:dyDescent="0.25">
      <c r="A11" s="50" t="s">
        <v>85</v>
      </c>
      <c r="B11" s="82">
        <f>'PRESUPUESTO DE GASTOS'!B18</f>
        <v>200</v>
      </c>
      <c r="C11" s="82">
        <f>'PRESUPUESTO DE GASTOS'!C18</f>
        <v>200</v>
      </c>
      <c r="D11" s="82">
        <f>'PRESUPUESTO DE GASTOS'!D18</f>
        <v>200</v>
      </c>
      <c r="E11" s="82">
        <f>'PRESUPUESTO DE GASTOS'!E18</f>
        <v>200</v>
      </c>
      <c r="F11" s="82">
        <f>'PRESUPUESTO DE GASTOS'!F18</f>
        <v>200</v>
      </c>
      <c r="G11" s="82">
        <f>'PRESUPUESTO DE GASTOS'!G18</f>
        <v>200</v>
      </c>
      <c r="H11" s="82">
        <f>'PRESUPUESTO DE GASTOS'!H18</f>
        <v>200</v>
      </c>
      <c r="I11" s="82">
        <f>'PRESUPUESTO DE GASTOS'!I18</f>
        <v>200</v>
      </c>
      <c r="J11" s="82">
        <f>'PRESUPUESTO DE GASTOS'!J18</f>
        <v>200</v>
      </c>
      <c r="K11" s="82">
        <f>'PRESUPUESTO DE GASTOS'!K18</f>
        <v>200</v>
      </c>
      <c r="L11" s="82">
        <f>'PRESUPUESTO DE GASTOS'!L18</f>
        <v>200</v>
      </c>
      <c r="M11" s="82">
        <f>'PRESUPUESTO DE GASTOS'!M18</f>
        <v>200</v>
      </c>
    </row>
    <row r="12" spans="1:20" ht="12" customHeight="1" x14ac:dyDescent="0.3">
      <c r="A12" s="459" t="s">
        <v>177</v>
      </c>
      <c r="B12" s="458">
        <f>+B9-B10-B11</f>
        <v>9963.5</v>
      </c>
      <c r="C12" s="458">
        <f t="shared" ref="C12:M12" si="2">+C9-C10-C11</f>
        <v>9963.5</v>
      </c>
      <c r="D12" s="458">
        <f t="shared" si="2"/>
        <v>9963.5</v>
      </c>
      <c r="E12" s="458">
        <f t="shared" si="2"/>
        <v>9963.5</v>
      </c>
      <c r="F12" s="458">
        <f t="shared" si="2"/>
        <v>9963.5</v>
      </c>
      <c r="G12" s="458">
        <f t="shared" si="2"/>
        <v>9963.5</v>
      </c>
      <c r="H12" s="458">
        <f t="shared" si="2"/>
        <v>7947</v>
      </c>
      <c r="I12" s="458">
        <f t="shared" si="2"/>
        <v>9963.5</v>
      </c>
      <c r="J12" s="458">
        <f t="shared" si="2"/>
        <v>9963.5</v>
      </c>
      <c r="K12" s="458">
        <f t="shared" si="2"/>
        <v>9963.5</v>
      </c>
      <c r="L12" s="458">
        <f t="shared" si="2"/>
        <v>9963.5</v>
      </c>
      <c r="M12" s="458">
        <f t="shared" si="2"/>
        <v>7947</v>
      </c>
      <c r="N12" s="520">
        <f>SUM(B12:M12)</f>
        <v>115529</v>
      </c>
    </row>
    <row r="13" spans="1:20" ht="12" customHeight="1" x14ac:dyDescent="0.25">
      <c r="A13" s="50" t="s">
        <v>305</v>
      </c>
      <c r="B13" s="190">
        <f>'AMORTIZACION DE CREDITO'!E16</f>
        <v>38.948230338283764</v>
      </c>
      <c r="C13" s="190">
        <f>'AMORTIZACION DE CREDITO'!E17</f>
        <v>35.919536631667476</v>
      </c>
      <c r="D13" s="190">
        <f>'AMORTIZACION DE CREDITO'!E18</f>
        <v>32.853010256638939</v>
      </c>
      <c r="E13" s="190">
        <f>'AMORTIZACION DE CREDITO'!E19</f>
        <v>29.748178629656255</v>
      </c>
      <c r="F13" s="190">
        <f>'AMORTIZACION DE CREDITO'!E20</f>
        <v>26.604563263940626</v>
      </c>
      <c r="G13" s="190">
        <f>'AMORTIZACION DE CREDITO'!E21</f>
        <v>23.421679695736589</v>
      </c>
      <c r="H13" s="190">
        <f>'AMORTIZACION DE CREDITO'!E22</f>
        <v>20.199037409651108</v>
      </c>
      <c r="I13" s="190">
        <f>'AMORTIZACION DE CREDITO'!E23</f>
        <v>16.936139763060062</v>
      </c>
      <c r="J13" s="190">
        <f>'AMORTIZACION DE CREDITO'!E24</f>
        <v>13.632483909570464</v>
      </c>
      <c r="K13" s="190">
        <f>'AMORTIZACION DE CREDITO'!E25</f>
        <v>10.287560721526631</v>
      </c>
      <c r="L13" s="190">
        <f>'AMORTIZACION DE CREDITO'!E26</f>
        <v>6.900854711548277</v>
      </c>
      <c r="M13" s="190">
        <f>'AMORTIZACION DE CREDITO'!E27</f>
        <v>3.4718439530886371</v>
      </c>
    </row>
    <row r="14" spans="1:20" ht="12" customHeight="1" x14ac:dyDescent="0.25">
      <c r="A14" s="50" t="s">
        <v>86</v>
      </c>
      <c r="B14" s="82">
        <f>'PRESUPUESTO DE GASTOS'!B25</f>
        <v>198.80233333333334</v>
      </c>
      <c r="C14" s="82">
        <f>'PRESUPUESTO DE GASTOS'!C25</f>
        <v>198.80233333333334</v>
      </c>
      <c r="D14" s="82">
        <f>'PRESUPUESTO DE GASTOS'!D25</f>
        <v>198.80233333333334</v>
      </c>
      <c r="E14" s="82">
        <f>'PRESUPUESTO DE GASTOS'!E25</f>
        <v>198.80233333333334</v>
      </c>
      <c r="F14" s="82">
        <f>'PRESUPUESTO DE GASTOS'!F25</f>
        <v>198.80233333333334</v>
      </c>
      <c r="G14" s="82">
        <f>'PRESUPUESTO DE GASTOS'!G25</f>
        <v>198.80233333333334</v>
      </c>
      <c r="H14" s="82">
        <f>'PRESUPUESTO DE GASTOS'!H25</f>
        <v>198.80233333333334</v>
      </c>
      <c r="I14" s="82">
        <f>'PRESUPUESTO DE GASTOS'!I25</f>
        <v>198.80233333333334</v>
      </c>
      <c r="J14" s="82">
        <f>'PRESUPUESTO DE GASTOS'!J25</f>
        <v>198.80233333333334</v>
      </c>
      <c r="K14" s="82">
        <f>'PRESUPUESTO DE GASTOS'!K25</f>
        <v>198.80233333333334</v>
      </c>
      <c r="L14" s="82">
        <f>'PRESUPUESTO DE GASTOS'!L25</f>
        <v>198.80233333333334</v>
      </c>
      <c r="M14" s="82">
        <f>'PRESUPUESTO DE GASTOS'!M25</f>
        <v>198.80233333333334</v>
      </c>
    </row>
    <row r="15" spans="1:20" ht="12" customHeight="1" x14ac:dyDescent="0.3">
      <c r="A15" s="457" t="s">
        <v>178</v>
      </c>
      <c r="B15" s="458">
        <f>+B12-B13-B14</f>
        <v>9725.749436328384</v>
      </c>
      <c r="C15" s="458">
        <f t="shared" ref="C15:M15" si="3">+C12-C13-C14</f>
        <v>9728.7781300349998</v>
      </c>
      <c r="D15" s="458">
        <f t="shared" si="3"/>
        <v>9731.8446564100286</v>
      </c>
      <c r="E15" s="458">
        <f t="shared" si="3"/>
        <v>9734.9494880370112</v>
      </c>
      <c r="F15" s="458">
        <f t="shared" si="3"/>
        <v>9738.0931034027271</v>
      </c>
      <c r="G15" s="458">
        <f t="shared" si="3"/>
        <v>9741.2759869709298</v>
      </c>
      <c r="H15" s="458">
        <f t="shared" si="3"/>
        <v>7727.9986292570156</v>
      </c>
      <c r="I15" s="458">
        <f t="shared" si="3"/>
        <v>9747.7615269036069</v>
      </c>
      <c r="J15" s="458">
        <f t="shared" si="3"/>
        <v>9751.0651827570964</v>
      </c>
      <c r="K15" s="458">
        <f t="shared" si="3"/>
        <v>9754.4101059451405</v>
      </c>
      <c r="L15" s="458">
        <f t="shared" si="3"/>
        <v>9757.7968119551188</v>
      </c>
      <c r="M15" s="458">
        <f t="shared" si="3"/>
        <v>7744.7258227135781</v>
      </c>
      <c r="N15" s="520">
        <f>SUM(B15:M15)</f>
        <v>112884.44888071562</v>
      </c>
    </row>
    <row r="16" spans="1:20" s="52" customFormat="1" ht="12" customHeight="1" x14ac:dyDescent="0.25">
      <c r="A16" s="354" t="s">
        <v>266</v>
      </c>
      <c r="B16" s="357">
        <f>IF(B15&gt;1,B15*0.3,0)</f>
        <v>2917.7248308985149</v>
      </c>
      <c r="C16" s="357">
        <f t="shared" ref="C16:M16" si="4">IF(C15&gt;1,C15*0.3,0)</f>
        <v>2918.6334390104998</v>
      </c>
      <c r="D16" s="357">
        <f t="shared" si="4"/>
        <v>2919.5533969230087</v>
      </c>
      <c r="E16" s="357">
        <f t="shared" si="4"/>
        <v>2920.4848464111033</v>
      </c>
      <c r="F16" s="357">
        <f t="shared" si="4"/>
        <v>2921.4279310208181</v>
      </c>
      <c r="G16" s="357">
        <f t="shared" si="4"/>
        <v>2922.382796091279</v>
      </c>
      <c r="H16" s="357">
        <f t="shared" si="4"/>
        <v>2318.3995887771048</v>
      </c>
      <c r="I16" s="357">
        <f t="shared" si="4"/>
        <v>2924.328458071082</v>
      </c>
      <c r="J16" s="357">
        <f t="shared" si="4"/>
        <v>2925.3195548271287</v>
      </c>
      <c r="K16" s="357">
        <f t="shared" si="4"/>
        <v>2926.3230317835419</v>
      </c>
      <c r="L16" s="357">
        <f t="shared" si="4"/>
        <v>2927.3390435865354</v>
      </c>
      <c r="M16" s="357">
        <f t="shared" si="4"/>
        <v>2323.4177468140733</v>
      </c>
    </row>
    <row r="17" spans="1:14" ht="12" customHeight="1" x14ac:dyDescent="0.3">
      <c r="A17" s="385" t="s">
        <v>81</v>
      </c>
      <c r="B17" s="386">
        <f>B15-B16</f>
        <v>6808.0246054298696</v>
      </c>
      <c r="C17" s="386">
        <f t="shared" ref="C17:M17" si="5">C15-C16</f>
        <v>6810.1446910244995</v>
      </c>
      <c r="D17" s="386">
        <f t="shared" si="5"/>
        <v>6812.2912594870195</v>
      </c>
      <c r="E17" s="386">
        <f t="shared" si="5"/>
        <v>6814.4646416259075</v>
      </c>
      <c r="F17" s="386">
        <f t="shared" si="5"/>
        <v>6816.6651723819086</v>
      </c>
      <c r="G17" s="386">
        <f t="shared" si="5"/>
        <v>6818.8931908796512</v>
      </c>
      <c r="H17" s="386">
        <f t="shared" si="5"/>
        <v>5409.5990404799104</v>
      </c>
      <c r="I17" s="386">
        <f t="shared" si="5"/>
        <v>6823.4330688325244</v>
      </c>
      <c r="J17" s="386">
        <f t="shared" si="5"/>
        <v>6825.7456279299677</v>
      </c>
      <c r="K17" s="386">
        <f t="shared" si="5"/>
        <v>6828.0870741615981</v>
      </c>
      <c r="L17" s="386">
        <f t="shared" si="5"/>
        <v>6830.4577683685839</v>
      </c>
      <c r="M17" s="386">
        <f t="shared" si="5"/>
        <v>5421.3080758995047</v>
      </c>
      <c r="N17" s="521">
        <f>SUM(B17:M17)</f>
        <v>79019.114216500937</v>
      </c>
    </row>
    <row r="18" spans="1:14" ht="12" customHeight="1" x14ac:dyDescent="0.3">
      <c r="A18" s="49"/>
      <c r="B18" s="223">
        <f>B17</f>
        <v>6808.0246054298696</v>
      </c>
      <c r="C18" s="223">
        <f>B18+C17</f>
        <v>13618.169296454369</v>
      </c>
      <c r="D18" s="223">
        <f t="shared" ref="D18:M18" si="6">C18+D17</f>
        <v>20430.46055594139</v>
      </c>
      <c r="E18" s="223">
        <f t="shared" si="6"/>
        <v>27244.925197567296</v>
      </c>
      <c r="F18" s="223">
        <f t="shared" si="6"/>
        <v>34061.590369949205</v>
      </c>
      <c r="G18" s="223">
        <f t="shared" si="6"/>
        <v>40880.483560828856</v>
      </c>
      <c r="H18" s="223">
        <f t="shared" si="6"/>
        <v>46290.082601308764</v>
      </c>
      <c r="I18" s="223">
        <f t="shared" si="6"/>
        <v>53113.515670141293</v>
      </c>
      <c r="J18" s="223">
        <f t="shared" si="6"/>
        <v>59939.261298071258</v>
      </c>
      <c r="K18" s="223">
        <f t="shared" si="6"/>
        <v>66767.348372232853</v>
      </c>
      <c r="L18" s="223">
        <f t="shared" si="6"/>
        <v>73597.806140601431</v>
      </c>
      <c r="M18" s="223">
        <f t="shared" si="6"/>
        <v>79019.114216500937</v>
      </c>
    </row>
    <row r="19" spans="1:14" ht="27" customHeight="1" x14ac:dyDescent="0.3">
      <c r="A19" s="245" t="s">
        <v>117</v>
      </c>
      <c r="B19" s="143">
        <f>B17/B4*100</f>
        <v>45.386830702865801</v>
      </c>
      <c r="C19" s="143">
        <f t="shared" ref="C19:M19" si="7">C17/C4*100</f>
        <v>45.400964606829994</v>
      </c>
      <c r="D19" s="143">
        <f t="shared" si="7"/>
        <v>45.415275063246796</v>
      </c>
      <c r="E19" s="143">
        <f t="shared" si="7"/>
        <v>45.429764277506052</v>
      </c>
      <c r="F19" s="143">
        <f t="shared" si="7"/>
        <v>45.444434482546058</v>
      </c>
      <c r="G19" s="143">
        <f t="shared" si="7"/>
        <v>45.459287939197672</v>
      </c>
      <c r="H19" s="143">
        <f t="shared" si="7"/>
        <v>36.0639936031994</v>
      </c>
      <c r="I19" s="143">
        <f t="shared" si="7"/>
        <v>45.489553792216832</v>
      </c>
      <c r="J19" s="143">
        <f t="shared" si="7"/>
        <v>45.50497085286645</v>
      </c>
      <c r="K19" s="143">
        <f t="shared" si="7"/>
        <v>45.520580494410659</v>
      </c>
      <c r="L19" s="143">
        <f t="shared" si="7"/>
        <v>45.536385122457226</v>
      </c>
      <c r="M19" s="143">
        <f t="shared" si="7"/>
        <v>36.142053839330032</v>
      </c>
      <c r="N19" s="267"/>
    </row>
    <row r="20" spans="1:14" ht="12" customHeight="1" x14ac:dyDescent="0.25">
      <c r="B20" s="85"/>
      <c r="C20" s="85"/>
      <c r="D20" s="85"/>
      <c r="E20" s="85"/>
      <c r="F20" s="85"/>
      <c r="G20" s="85"/>
      <c r="H20" s="85"/>
      <c r="I20" s="85"/>
      <c r="J20" s="85"/>
      <c r="K20" s="85"/>
    </row>
    <row r="21" spans="1:14" ht="12" customHeight="1" x14ac:dyDescent="0.25">
      <c r="B21" s="85"/>
      <c r="C21" s="85"/>
      <c r="D21" s="85"/>
      <c r="E21" s="85"/>
      <c r="F21" s="85"/>
      <c r="G21" s="85"/>
      <c r="H21" s="85"/>
      <c r="I21" s="85"/>
      <c r="J21" s="85"/>
      <c r="K21" s="85"/>
    </row>
    <row r="22" spans="1:14" ht="12" customHeight="1" x14ac:dyDescent="0.25">
      <c r="F22" s="85"/>
      <c r="G22" s="85"/>
      <c r="H22" s="85"/>
      <c r="I22" s="85"/>
      <c r="J22" s="85"/>
      <c r="K22" s="85"/>
    </row>
    <row r="23" spans="1:14" ht="12" customHeight="1" x14ac:dyDescent="0.25">
      <c r="A23" s="3"/>
      <c r="B23" s="635" t="s">
        <v>310</v>
      </c>
      <c r="C23" s="635"/>
      <c r="D23" s="634" t="s">
        <v>315</v>
      </c>
      <c r="E23" s="634"/>
      <c r="G23" s="85"/>
      <c r="H23" s="86"/>
      <c r="I23" s="85"/>
      <c r="J23" s="86"/>
      <c r="K23" s="85"/>
      <c r="L23" s="86"/>
    </row>
    <row r="24" spans="1:14" ht="12" customHeight="1" x14ac:dyDescent="0.25">
      <c r="A24" s="3"/>
      <c r="B24" s="636" t="s">
        <v>313</v>
      </c>
      <c r="C24" s="636"/>
      <c r="D24" s="624" t="s">
        <v>316</v>
      </c>
      <c r="E24" s="624"/>
      <c r="F24" s="624"/>
      <c r="G24" s="624"/>
      <c r="H24" s="85"/>
      <c r="I24" s="86"/>
      <c r="J24" s="85"/>
      <c r="K24" s="85"/>
      <c r="L24" s="85"/>
    </row>
    <row r="25" spans="1:14" ht="12" customHeight="1" x14ac:dyDescent="0.25">
      <c r="B25" s="637" t="s">
        <v>311</v>
      </c>
      <c r="C25" s="637"/>
      <c r="D25" s="624" t="s">
        <v>317</v>
      </c>
      <c r="E25" s="624"/>
      <c r="F25" s="624"/>
      <c r="G25" s="624"/>
      <c r="H25" s="624"/>
      <c r="I25" s="624"/>
      <c r="J25" s="85"/>
      <c r="K25" s="85"/>
      <c r="L25" s="85"/>
    </row>
    <row r="26" spans="1:14" ht="12" customHeight="1" x14ac:dyDescent="0.25">
      <c r="B26" s="85" t="s">
        <v>314</v>
      </c>
      <c r="C26" s="85"/>
      <c r="D26" s="624" t="s">
        <v>318</v>
      </c>
      <c r="E26" s="624"/>
      <c r="F26" s="624"/>
      <c r="G26" s="624"/>
      <c r="H26" s="624"/>
      <c r="I26" s="85"/>
      <c r="J26" s="85"/>
      <c r="K26" s="85"/>
      <c r="L26" s="85"/>
    </row>
    <row r="27" spans="1:14" ht="12" customHeight="1" x14ac:dyDescent="0.25">
      <c r="A27" s="269"/>
      <c r="B27" s="269"/>
      <c r="C27" s="269"/>
      <c r="D27" s="269"/>
      <c r="E27" s="269"/>
      <c r="F27" s="269"/>
      <c r="G27" s="269"/>
      <c r="H27" s="85"/>
      <c r="I27" s="85"/>
      <c r="J27" s="85"/>
      <c r="K27" s="85"/>
    </row>
    <row r="28" spans="1:14" ht="12" customHeight="1" x14ac:dyDescent="0.25">
      <c r="A28" s="269"/>
      <c r="B28" s="269"/>
      <c r="C28" s="269"/>
      <c r="D28" s="269" t="s">
        <v>312</v>
      </c>
      <c r="E28" s="269"/>
      <c r="F28" s="269"/>
      <c r="G28" s="269"/>
      <c r="H28" s="3"/>
      <c r="I28" s="3"/>
      <c r="J28" s="3"/>
      <c r="K28" s="85"/>
    </row>
    <row r="29" spans="1:14" ht="12" customHeight="1" x14ac:dyDescent="0.25">
      <c r="A29" s="269"/>
      <c r="B29" s="512"/>
      <c r="C29" s="269"/>
      <c r="D29" s="270"/>
      <c r="E29" s="269"/>
      <c r="F29" s="269"/>
      <c r="G29" s="269"/>
      <c r="H29" s="3"/>
      <c r="I29" s="3"/>
      <c r="J29" s="3"/>
      <c r="K29" s="85"/>
    </row>
    <row r="30" spans="1:14" ht="12" customHeight="1" x14ac:dyDescent="0.25">
      <c r="A30" s="269"/>
      <c r="B30" s="269"/>
      <c r="C30" s="269"/>
      <c r="D30" s="269"/>
      <c r="E30" s="269"/>
      <c r="F30" s="269"/>
      <c r="G30" s="269"/>
      <c r="H30" s="3"/>
      <c r="I30" s="3"/>
      <c r="J30" s="3"/>
      <c r="K30" s="85"/>
    </row>
    <row r="31" spans="1:14" ht="12" customHeight="1" x14ac:dyDescent="0.25">
      <c r="A31" s="269"/>
      <c r="B31" s="269"/>
      <c r="C31" s="269"/>
      <c r="D31" s="269"/>
      <c r="E31" s="269"/>
      <c r="F31" s="269"/>
      <c r="G31" s="269"/>
      <c r="H31" s="3"/>
      <c r="I31" s="3"/>
      <c r="J31" s="3"/>
      <c r="K31" s="85"/>
    </row>
    <row r="32" spans="1:14" ht="12" customHeight="1" x14ac:dyDescent="0.25">
      <c r="A32" s="269"/>
      <c r="B32" s="269"/>
      <c r="C32" s="269"/>
      <c r="D32" s="269"/>
      <c r="E32" s="269"/>
      <c r="F32" s="269"/>
      <c r="G32" s="269"/>
      <c r="H32" s="3"/>
      <c r="I32" s="3"/>
      <c r="J32" s="3"/>
      <c r="K32" s="85"/>
    </row>
    <row r="33" spans="1:12" ht="12" customHeight="1" x14ac:dyDescent="0.25">
      <c r="A33" s="269"/>
      <c r="B33" s="269"/>
      <c r="C33" s="269"/>
      <c r="D33" s="269"/>
      <c r="E33" s="269"/>
      <c r="F33" s="269"/>
      <c r="G33" s="269"/>
      <c r="H33" s="3"/>
      <c r="I33" s="3"/>
      <c r="J33" s="3"/>
      <c r="K33" s="85"/>
    </row>
    <row r="34" spans="1:12" ht="12" customHeight="1" x14ac:dyDescent="0.25">
      <c r="A34" s="269"/>
      <c r="B34" s="269"/>
      <c r="C34" s="269"/>
      <c r="D34" s="269"/>
      <c r="E34" s="269"/>
      <c r="F34" s="269"/>
      <c r="G34" s="269"/>
      <c r="H34" s="3"/>
      <c r="I34" s="3"/>
      <c r="J34" s="3"/>
      <c r="K34" s="85"/>
    </row>
    <row r="35" spans="1:12" ht="12" customHeight="1" x14ac:dyDescent="0.25">
      <c r="A35" s="269"/>
      <c r="B35" s="270"/>
      <c r="C35" s="270"/>
      <c r="D35" s="270"/>
      <c r="E35" s="270"/>
      <c r="F35" s="270"/>
      <c r="G35" s="270"/>
      <c r="H35" s="244"/>
      <c r="I35" s="244"/>
      <c r="J35" s="3"/>
      <c r="K35" s="85"/>
    </row>
    <row r="36" spans="1:12" ht="12" customHeight="1" x14ac:dyDescent="0.25">
      <c r="A36" s="269"/>
      <c r="B36" s="269"/>
      <c r="C36" s="269"/>
      <c r="D36" s="269"/>
      <c r="E36" s="269"/>
      <c r="F36" s="269"/>
      <c r="G36" s="269"/>
      <c r="H36" s="3"/>
      <c r="I36" s="3"/>
      <c r="J36" s="3"/>
      <c r="K36" s="85"/>
    </row>
    <row r="37" spans="1:12" ht="12" customHeight="1" x14ac:dyDescent="0.25">
      <c r="A37" s="269"/>
      <c r="B37" s="269"/>
      <c r="C37" s="269"/>
      <c r="D37" s="269"/>
      <c r="E37" s="269"/>
      <c r="F37" s="269"/>
      <c r="G37" s="269"/>
    </row>
    <row r="38" spans="1:12" ht="12" customHeight="1" x14ac:dyDescent="0.25">
      <c r="A38" s="269"/>
      <c r="B38" s="271"/>
      <c r="C38" s="271"/>
      <c r="D38" s="271"/>
      <c r="E38" s="271"/>
      <c r="F38" s="271"/>
      <c r="G38" s="271"/>
      <c r="H38" s="272"/>
      <c r="I38" s="272"/>
    </row>
    <row r="39" spans="1:12" ht="12" customHeight="1" x14ac:dyDescent="0.25">
      <c r="A39" s="269"/>
      <c r="B39" s="269"/>
      <c r="C39" s="269"/>
      <c r="D39" s="269"/>
      <c r="E39" s="269"/>
      <c r="F39" s="269"/>
      <c r="G39" s="269"/>
      <c r="H39" s="3"/>
      <c r="I39" s="3"/>
      <c r="J39" s="85"/>
      <c r="K39" s="85"/>
      <c r="L39" s="85"/>
    </row>
    <row r="40" spans="1:12" ht="12" customHeight="1" x14ac:dyDescent="0.25">
      <c r="A40" s="269"/>
      <c r="B40" s="269"/>
      <c r="C40" s="269"/>
      <c r="D40" s="269"/>
      <c r="E40" s="269"/>
      <c r="F40" s="269"/>
      <c r="G40" s="269"/>
      <c r="H40" s="3"/>
      <c r="I40" s="3"/>
      <c r="J40" s="85"/>
      <c r="K40" s="85"/>
      <c r="L40" s="85"/>
    </row>
    <row r="41" spans="1:12" ht="12" customHeight="1" x14ac:dyDescent="0.25">
      <c r="A41" s="269"/>
      <c r="B41" s="269"/>
      <c r="C41" s="269"/>
      <c r="D41" s="269"/>
      <c r="E41" s="269"/>
      <c r="F41" s="269"/>
      <c r="G41" s="269"/>
      <c r="H41" s="3"/>
      <c r="I41" s="3"/>
      <c r="J41" s="85"/>
      <c r="K41" s="85"/>
      <c r="L41" s="85"/>
    </row>
    <row r="42" spans="1:12" ht="12" customHeight="1" x14ac:dyDescent="0.25">
      <c r="A42" s="269"/>
      <c r="B42" s="269"/>
      <c r="C42" s="269"/>
      <c r="D42" s="269"/>
      <c r="E42" s="269"/>
      <c r="F42" s="269"/>
      <c r="G42" s="269"/>
      <c r="H42" s="3"/>
      <c r="I42" s="3"/>
      <c r="J42" s="85"/>
      <c r="K42" s="85"/>
      <c r="L42" s="85"/>
    </row>
    <row r="43" spans="1:12" ht="12" customHeight="1" x14ac:dyDescent="0.25">
      <c r="A43" s="269"/>
      <c r="B43" s="269"/>
      <c r="C43" s="269"/>
      <c r="D43" s="269"/>
      <c r="E43" s="269"/>
      <c r="F43" s="269"/>
      <c r="G43" s="269"/>
      <c r="H43" s="3"/>
      <c r="I43" s="3"/>
      <c r="J43" s="85"/>
      <c r="K43" s="85"/>
      <c r="L43" s="85"/>
    </row>
    <row r="44" spans="1:12" ht="12" customHeight="1" x14ac:dyDescent="0.25">
      <c r="A44" s="269"/>
      <c r="B44" s="269"/>
      <c r="C44" s="269"/>
      <c r="D44" s="269"/>
      <c r="E44" s="269"/>
      <c r="F44" s="269"/>
      <c r="G44" s="269"/>
      <c r="H44" s="85"/>
      <c r="I44" s="85"/>
      <c r="J44" s="85"/>
      <c r="K44" s="85"/>
      <c r="L44" s="85"/>
    </row>
    <row r="45" spans="1:12" ht="12" customHeight="1" x14ac:dyDescent="0.25">
      <c r="A45" s="269"/>
      <c r="B45" s="269"/>
      <c r="C45" s="269"/>
      <c r="D45" s="269"/>
      <c r="E45" s="269"/>
      <c r="F45" s="269"/>
      <c r="G45" s="269"/>
      <c r="H45" s="85"/>
      <c r="I45" s="85"/>
      <c r="J45" s="85"/>
      <c r="K45" s="85"/>
      <c r="L45" s="85"/>
    </row>
    <row r="46" spans="1:12" ht="12" customHeight="1" x14ac:dyDescent="0.25">
      <c r="A46" s="269"/>
      <c r="B46" s="269"/>
      <c r="C46" s="269"/>
      <c r="D46" s="269"/>
      <c r="E46" s="269"/>
      <c r="F46" s="269"/>
      <c r="G46" s="269"/>
      <c r="H46" s="85"/>
      <c r="I46" s="85"/>
      <c r="J46" s="85"/>
      <c r="K46" s="85"/>
      <c r="L46" s="85"/>
    </row>
    <row r="47" spans="1:12" ht="12" customHeight="1" x14ac:dyDescent="0.25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</row>
    <row r="48" spans="1:12" ht="12" customHeight="1" x14ac:dyDescent="0.25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</row>
    <row r="49" spans="2:12" ht="12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</row>
    <row r="50" spans="2:12" ht="12" customHeight="1" x14ac:dyDescent="0.25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</row>
    <row r="51" spans="2:12" ht="12" customHeight="1" x14ac:dyDescent="0.25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</row>
  </sheetData>
  <mergeCells count="7">
    <mergeCell ref="D26:H26"/>
    <mergeCell ref="D23:E23"/>
    <mergeCell ref="B23:C23"/>
    <mergeCell ref="B24:C24"/>
    <mergeCell ref="B25:C25"/>
    <mergeCell ref="D24:G24"/>
    <mergeCell ref="D25:I2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showGridLines="0" workbookViewId="0">
      <pane ySplit="1" topLeftCell="A17" activePane="bottomLeft" state="frozen"/>
      <selection pane="bottomLeft" activeCell="E38" sqref="E38"/>
    </sheetView>
  </sheetViews>
  <sheetFormatPr baseColWidth="10" defaultColWidth="11.42578125" defaultRowHeight="16.5" x14ac:dyDescent="0.3"/>
  <cols>
    <col min="1" max="1" width="5.28515625" style="1" customWidth="1"/>
    <col min="2" max="2" width="11.42578125" style="1"/>
    <col min="3" max="3" width="23.85546875" style="1" customWidth="1"/>
    <col min="4" max="5" width="10.7109375" style="1" bestFit="1" customWidth="1"/>
    <col min="6" max="7" width="11.140625" style="1" bestFit="1" customWidth="1"/>
    <col min="8" max="8" width="11.42578125" style="1"/>
    <col min="9" max="9" width="12.5703125" style="1" customWidth="1"/>
    <col min="10" max="16384" width="11.42578125" style="1"/>
  </cols>
  <sheetData>
    <row r="1" spans="1:7" x14ac:dyDescent="0.3">
      <c r="A1" s="640" t="s">
        <v>166</v>
      </c>
      <c r="B1" s="640"/>
      <c r="C1" s="640"/>
      <c r="D1" s="640"/>
      <c r="E1" s="640"/>
      <c r="F1" s="640"/>
      <c r="G1" s="640"/>
    </row>
    <row r="2" spans="1:7" x14ac:dyDescent="0.3">
      <c r="A2" s="31"/>
      <c r="B2" s="31"/>
      <c r="C2" s="31"/>
      <c r="D2" s="31"/>
      <c r="E2" s="31"/>
    </row>
    <row r="3" spans="1:7" s="68" customFormat="1" ht="35.25" customHeight="1" x14ac:dyDescent="0.3">
      <c r="A3" s="638" t="s">
        <v>150</v>
      </c>
      <c r="B3" s="639"/>
      <c r="C3" s="639"/>
      <c r="D3" s="148" t="s">
        <v>146</v>
      </c>
      <c r="E3" s="148" t="s">
        <v>147</v>
      </c>
      <c r="F3" s="148" t="s">
        <v>148</v>
      </c>
      <c r="G3" s="148" t="s">
        <v>149</v>
      </c>
    </row>
    <row r="4" spans="1:7" x14ac:dyDescent="0.3">
      <c r="A4" s="170">
        <v>1</v>
      </c>
      <c r="B4" s="171" t="s">
        <v>120</v>
      </c>
      <c r="C4" s="172"/>
      <c r="D4" s="173"/>
      <c r="E4" s="173"/>
      <c r="F4" s="173"/>
      <c r="G4" s="173"/>
    </row>
    <row r="5" spans="1:7" x14ac:dyDescent="0.3">
      <c r="A5" s="161">
        <v>1.1000000000000001</v>
      </c>
      <c r="B5" s="154" t="s">
        <v>121</v>
      </c>
      <c r="C5" s="155"/>
      <c r="D5" s="162"/>
      <c r="E5" s="162"/>
      <c r="F5" s="162"/>
      <c r="G5" s="162"/>
    </row>
    <row r="6" spans="1:7" x14ac:dyDescent="0.3">
      <c r="A6" s="69"/>
      <c r="B6" s="71" t="s">
        <v>122</v>
      </c>
      <c r="C6" s="72" t="s">
        <v>123</v>
      </c>
      <c r="D6" s="74">
        <f>'FLUJO DE CAJA ECON FINANCI'!C17+'FLUJO DE CAJA ECON FINANCI'!D17+'FLUJO DE CAJA ECON FINANCI'!E17</f>
        <v>28449.862220178911</v>
      </c>
      <c r="E6" s="74">
        <f>'FLUJO DE CAJA ECON FINANCI'!F17+'FLUJO DE CAJA ECON FINANCI'!G17+'FLUJO DE CAJA ECON FINANCI'!H17</f>
        <v>28449.862220178911</v>
      </c>
      <c r="F6" s="74">
        <f>'FLUJO DE CAJA ECON FINANCI'!I17+'FLUJO DE CAJA ECON FINANCI'!J17+'FLUJO DE CAJA ECON FINANCI'!K17</f>
        <v>26433.362220178911</v>
      </c>
      <c r="G6" s="74">
        <f>'FLUJO DE CAJA ECON FINANCI'!L17+'FLUJO DE CAJA ECON FINANCI'!M17+'FLUJO DE CAJA ECON FINANCI'!N17</f>
        <v>26433.362220178911</v>
      </c>
    </row>
    <row r="7" spans="1:7" x14ac:dyDescent="0.3">
      <c r="A7" s="69"/>
      <c r="B7" s="71" t="s">
        <v>179</v>
      </c>
      <c r="C7" s="72" t="s">
        <v>162</v>
      </c>
      <c r="D7" s="74">
        <f>+('INGRESO POR VENTAS'!C10+'INGRESO POR VENTAS'!D10+'INGRESO POR VENTAS'!E10)*0.05</f>
        <v>2250</v>
      </c>
      <c r="E7" s="74">
        <f>+('INGRESO POR VENTAS'!D10+'INGRESO POR VENTAS'!E10+'INGRESO POR VENTAS'!F10)*0.05</f>
        <v>2250</v>
      </c>
      <c r="F7" s="74">
        <f>+('INGRESO POR VENTAS'!E10+'INGRESO POR VENTAS'!F10+'INGRESO POR VENTAS'!G10)*0.05</f>
        <v>2250</v>
      </c>
      <c r="G7" s="74">
        <f>+('INGRESO POR VENTAS'!F10+'INGRESO POR VENTAS'!G10+'INGRESO POR VENTAS'!H10)*0.05</f>
        <v>2250</v>
      </c>
    </row>
    <row r="8" spans="1:7" x14ac:dyDescent="0.3">
      <c r="A8" s="69"/>
      <c r="B8" s="69" t="s">
        <v>124</v>
      </c>
      <c r="C8" s="70" t="s">
        <v>125</v>
      </c>
      <c r="D8" s="75">
        <f>'PRESUPUESTO DE GASTOS'!B6</f>
        <v>1920</v>
      </c>
      <c r="E8" s="75">
        <f>D8</f>
        <v>1920</v>
      </c>
      <c r="F8" s="75">
        <f t="shared" ref="F8:G8" si="0">E8</f>
        <v>1920</v>
      </c>
      <c r="G8" s="75">
        <f t="shared" si="0"/>
        <v>1920</v>
      </c>
    </row>
    <row r="9" spans="1:7" x14ac:dyDescent="0.3">
      <c r="A9" s="174">
        <v>1.1000000000000001</v>
      </c>
      <c r="B9" s="175" t="s">
        <v>126</v>
      </c>
      <c r="C9" s="175"/>
      <c r="D9" s="176">
        <f t="shared" ref="D9:G9" si="1">SUM(D6:D8)</f>
        <v>32619.862220178911</v>
      </c>
      <c r="E9" s="176">
        <f t="shared" si="1"/>
        <v>32619.862220178911</v>
      </c>
      <c r="F9" s="176">
        <f t="shared" si="1"/>
        <v>30603.362220178911</v>
      </c>
      <c r="G9" s="176">
        <f t="shared" si="1"/>
        <v>30603.362220178911</v>
      </c>
    </row>
    <row r="10" spans="1:7" x14ac:dyDescent="0.3">
      <c r="A10" s="153" t="s">
        <v>151</v>
      </c>
      <c r="B10" s="154" t="s">
        <v>127</v>
      </c>
      <c r="C10" s="155"/>
      <c r="D10" s="156"/>
      <c r="E10" s="156"/>
      <c r="F10" s="156"/>
      <c r="G10" s="156"/>
    </row>
    <row r="11" spans="1:7" x14ac:dyDescent="0.3">
      <c r="A11" s="69"/>
      <c r="B11" s="69" t="s">
        <v>128</v>
      </c>
      <c r="C11" s="70" t="s">
        <v>129</v>
      </c>
      <c r="D11" s="75">
        <f>'INVERSION TOTAL'!E32</f>
        <v>16891.52</v>
      </c>
      <c r="E11" s="75">
        <f>D11</f>
        <v>16891.52</v>
      </c>
      <c r="F11" s="75">
        <f t="shared" ref="F11:G11" si="2">E11</f>
        <v>16891.52</v>
      </c>
      <c r="G11" s="75">
        <f t="shared" si="2"/>
        <v>16891.52</v>
      </c>
    </row>
    <row r="12" spans="1:7" x14ac:dyDescent="0.3">
      <c r="A12" s="69"/>
      <c r="B12" s="69" t="s">
        <v>130</v>
      </c>
      <c r="C12" s="70" t="s">
        <v>131</v>
      </c>
      <c r="D12" s="75">
        <f>'INVERSION TOTAL'!E44</f>
        <v>1075</v>
      </c>
      <c r="E12" s="75">
        <f>D12</f>
        <v>1075</v>
      </c>
      <c r="F12" s="75">
        <f t="shared" ref="F12:G12" si="3">E12</f>
        <v>1075</v>
      </c>
      <c r="G12" s="75">
        <f t="shared" si="3"/>
        <v>1075</v>
      </c>
    </row>
    <row r="13" spans="1:7" x14ac:dyDescent="0.3">
      <c r="A13" s="69"/>
      <c r="B13" s="69" t="s">
        <v>154</v>
      </c>
      <c r="C13" s="70" t="s">
        <v>155</v>
      </c>
      <c r="D13" s="75">
        <f>DEPRECIACION!H18</f>
        <v>198.80233333333334</v>
      </c>
      <c r="E13" s="75">
        <f>D13</f>
        <v>198.80233333333334</v>
      </c>
      <c r="F13" s="75">
        <f t="shared" ref="F13:G13" si="4">E13</f>
        <v>198.80233333333334</v>
      </c>
      <c r="G13" s="75">
        <f t="shared" si="4"/>
        <v>198.80233333333334</v>
      </c>
    </row>
    <row r="14" spans="1:7" x14ac:dyDescent="0.3">
      <c r="A14" s="499">
        <v>1.2</v>
      </c>
      <c r="B14" s="500" t="s">
        <v>132</v>
      </c>
      <c r="C14" s="500"/>
      <c r="D14" s="501">
        <f>(SUM(D11:D12))-D13</f>
        <v>17767.717666666667</v>
      </c>
      <c r="E14" s="501">
        <f t="shared" ref="E14:G14" si="5">(SUM(E11:E12))-E13</f>
        <v>17767.717666666667</v>
      </c>
      <c r="F14" s="501">
        <f t="shared" si="5"/>
        <v>17767.717666666667</v>
      </c>
      <c r="G14" s="501">
        <f t="shared" si="5"/>
        <v>17767.717666666667</v>
      </c>
    </row>
    <row r="15" spans="1:7" x14ac:dyDescent="0.3">
      <c r="A15" s="461">
        <v>1</v>
      </c>
      <c r="B15" s="462" t="s">
        <v>133</v>
      </c>
      <c r="C15" s="462"/>
      <c r="D15" s="463">
        <f t="shared" ref="D15:G15" si="6">D14+D9</f>
        <v>50387.579886845575</v>
      </c>
      <c r="E15" s="463">
        <f t="shared" si="6"/>
        <v>50387.579886845575</v>
      </c>
      <c r="F15" s="463">
        <f t="shared" si="6"/>
        <v>48371.079886845575</v>
      </c>
      <c r="G15" s="463">
        <f t="shared" si="6"/>
        <v>48371.079886845575</v>
      </c>
    </row>
    <row r="16" spans="1:7" x14ac:dyDescent="0.3">
      <c r="A16" s="170">
        <v>2</v>
      </c>
      <c r="B16" s="171" t="s">
        <v>152</v>
      </c>
      <c r="C16" s="172"/>
      <c r="D16" s="177"/>
      <c r="E16" s="177"/>
      <c r="F16" s="177"/>
      <c r="G16" s="177"/>
    </row>
    <row r="17" spans="1:18" x14ac:dyDescent="0.3">
      <c r="A17" s="161">
        <v>2.1</v>
      </c>
      <c r="B17" s="154" t="s">
        <v>134</v>
      </c>
      <c r="C17" s="155"/>
      <c r="D17" s="157"/>
      <c r="E17" s="157"/>
      <c r="F17" s="157"/>
      <c r="G17" s="157"/>
    </row>
    <row r="18" spans="1:18" x14ac:dyDescent="0.3">
      <c r="A18" s="69"/>
      <c r="B18" s="71" t="s">
        <v>161</v>
      </c>
      <c r="C18" s="72" t="s">
        <v>160</v>
      </c>
      <c r="D18" s="74">
        <f>'ESTADO DE GANACIAS Y PERDIDAS'!B16+'ESTADO DE GANACIAS Y PERDIDAS'!C16+'ESTADO DE GANACIAS Y PERDIDAS'!D16</f>
        <v>8755.9116668320239</v>
      </c>
      <c r="E18" s="74">
        <f>'ESTADO DE GANACIAS Y PERDIDAS'!E16+'ESTADO DE GANACIAS Y PERDIDAS'!F16+'ESTADO DE GANACIAS Y PERDIDAS'!G16</f>
        <v>8764.2955735232008</v>
      </c>
      <c r="F18" s="74">
        <f>'ESTADO DE GANACIAS Y PERDIDAS'!H16+'ESTADO DE GANACIAS Y PERDIDAS'!I16+'ESTADO DE GANACIAS Y PERDIDAS'!J16</f>
        <v>8168.0476016753155</v>
      </c>
      <c r="G18" s="74">
        <f>'ESTADO DE GANACIAS Y PERDIDAS'!K16+'ESTADO DE GANACIAS Y PERDIDAS'!L16+'ESTADO DE GANACIAS Y PERDIDAS'!M16</f>
        <v>8177.0798221841505</v>
      </c>
    </row>
    <row r="19" spans="1:18" ht="25.5" x14ac:dyDescent="0.3">
      <c r="A19" s="69"/>
      <c r="B19" s="69" t="s">
        <v>135</v>
      </c>
      <c r="C19" s="246" t="s">
        <v>136</v>
      </c>
      <c r="D19" s="75">
        <v>0</v>
      </c>
      <c r="E19" s="75">
        <v>0</v>
      </c>
      <c r="F19" s="75">
        <v>0</v>
      </c>
      <c r="G19" s="84">
        <v>0</v>
      </c>
    </row>
    <row r="20" spans="1:18" ht="25.5" x14ac:dyDescent="0.3">
      <c r="A20" s="69"/>
      <c r="B20" s="69" t="s">
        <v>137</v>
      </c>
      <c r="C20" s="246" t="s">
        <v>156</v>
      </c>
      <c r="D20" s="75">
        <f>+'AMORTIZACION DE CREDITO'!D16+'AMORTIZACION DE CREDITO'!D17+'AMORTIZACION DE CREDITO'!D18</f>
        <v>736.51000259450052</v>
      </c>
      <c r="E20" s="75">
        <f>+'AMORTIZACION DE CREDITO'!D19+'AMORTIZACION DE CREDITO'!D20+'AMORTIZACION DE CREDITO'!D21</f>
        <v>764.45635823175724</v>
      </c>
      <c r="F20" s="75">
        <f>+'AMORTIZACION DE CREDITO'!D22+'AMORTIZACION DE CREDITO'!D23+'AMORTIZACION DE CREDITO'!D24</f>
        <v>793.46311873880904</v>
      </c>
      <c r="G20" s="75">
        <f>+'AMORTIZACION DE CREDITO'!D25+'AMORTIZACION DE CREDITO'!D26+'AMORTIZACION DE CREDITO'!D27</f>
        <v>823.57052043492718</v>
      </c>
    </row>
    <row r="21" spans="1:18" x14ac:dyDescent="0.3">
      <c r="A21" s="499">
        <v>2.1</v>
      </c>
      <c r="B21" s="500" t="s">
        <v>138</v>
      </c>
      <c r="C21" s="500"/>
      <c r="D21" s="501">
        <f t="shared" ref="D21:G21" si="7">SUM(D18:D20)</f>
        <v>9492.4216694265251</v>
      </c>
      <c r="E21" s="501">
        <f t="shared" si="7"/>
        <v>9528.7519317549577</v>
      </c>
      <c r="F21" s="501">
        <f t="shared" si="7"/>
        <v>8961.5107204141241</v>
      </c>
      <c r="G21" s="501">
        <f t="shared" si="7"/>
        <v>9000.6503426190775</v>
      </c>
    </row>
    <row r="22" spans="1:18" x14ac:dyDescent="0.3">
      <c r="A22" s="161">
        <v>2.2000000000000002</v>
      </c>
      <c r="B22" s="154" t="s">
        <v>175</v>
      </c>
      <c r="C22" s="185"/>
      <c r="D22" s="186"/>
      <c r="E22" s="186"/>
      <c r="F22" s="186"/>
      <c r="G22" s="186"/>
    </row>
    <row r="23" spans="1:18" s="189" customFormat="1" ht="25.5" x14ac:dyDescent="0.3">
      <c r="A23" s="187"/>
      <c r="B23" s="69" t="s">
        <v>137</v>
      </c>
      <c r="C23" s="246" t="s">
        <v>156</v>
      </c>
      <c r="D23" s="188">
        <f>+'AMORTIZACION DE CREDITO'!C18</f>
        <v>2381.4899974054997</v>
      </c>
      <c r="E23" s="188">
        <f>+'AMORTIZACION DE CREDITO'!C21</f>
        <v>1617.0336391737424</v>
      </c>
      <c r="F23" s="188">
        <f>+'AMORTIZACION DE CREDITO'!C24</f>
        <v>823.57052043493331</v>
      </c>
      <c r="G23" s="188">
        <f>+'AMORTIZACION DE CREDITO'!C27</f>
        <v>6.1390892369672656E-12</v>
      </c>
    </row>
    <row r="24" spans="1:18" s="189" customFormat="1" x14ac:dyDescent="0.3">
      <c r="A24" s="499">
        <v>2.1</v>
      </c>
      <c r="B24" s="500" t="s">
        <v>176</v>
      </c>
      <c r="C24" s="500"/>
      <c r="D24" s="501">
        <f>D23</f>
        <v>2381.4899974054997</v>
      </c>
      <c r="E24" s="501">
        <f t="shared" ref="E24:G24" si="8">E23</f>
        <v>1617.0336391737424</v>
      </c>
      <c r="F24" s="501">
        <f t="shared" si="8"/>
        <v>823.57052043493331</v>
      </c>
      <c r="G24" s="501">
        <f t="shared" si="8"/>
        <v>6.1390892369672656E-12</v>
      </c>
    </row>
    <row r="25" spans="1:18" x14ac:dyDescent="0.3">
      <c r="A25" s="461">
        <v>2.2999999999999998</v>
      </c>
      <c r="B25" s="462" t="s">
        <v>139</v>
      </c>
      <c r="C25" s="462"/>
      <c r="D25" s="463">
        <f>+D21+D24</f>
        <v>11873.911666832024</v>
      </c>
      <c r="E25" s="463">
        <f t="shared" ref="E25:G25" si="9">+E21+E24</f>
        <v>11145.7855709287</v>
      </c>
      <c r="F25" s="463">
        <f t="shared" si="9"/>
        <v>9785.0812408490565</v>
      </c>
      <c r="G25" s="463">
        <f t="shared" si="9"/>
        <v>9000.6503426190829</v>
      </c>
    </row>
    <row r="26" spans="1:18" x14ac:dyDescent="0.3">
      <c r="A26" s="149">
        <v>2.4</v>
      </c>
      <c r="B26" s="150" t="s">
        <v>140</v>
      </c>
      <c r="C26" s="151"/>
      <c r="D26" s="152"/>
      <c r="E26" s="152"/>
      <c r="F26" s="152"/>
      <c r="G26" s="152"/>
    </row>
    <row r="27" spans="1:18" x14ac:dyDescent="0.3">
      <c r="A27" s="69"/>
      <c r="B27" s="71" t="s">
        <v>141</v>
      </c>
      <c r="C27" s="72" t="s">
        <v>142</v>
      </c>
      <c r="D27" s="74">
        <v>11794.82</v>
      </c>
      <c r="E27" s="83">
        <f>D27</f>
        <v>11794.82</v>
      </c>
      <c r="F27" s="83">
        <f t="shared" ref="F27:G27" si="10">E27</f>
        <v>11794.82</v>
      </c>
      <c r="G27" s="83">
        <f t="shared" si="10"/>
        <v>11794.82</v>
      </c>
    </row>
    <row r="28" spans="1:18" x14ac:dyDescent="0.3">
      <c r="A28" s="69"/>
      <c r="B28" s="69" t="s">
        <v>158</v>
      </c>
      <c r="C28" s="70" t="s">
        <v>157</v>
      </c>
      <c r="D28" s="75">
        <f>'ESTADO DE GANACIAS Y PERDIDAS'!B17+'ESTADO DE GANACIAS Y PERDIDAS'!C17+'ESTADO DE GANACIAS Y PERDIDAS'!D17</f>
        <v>20430.46055594139</v>
      </c>
      <c r="E28" s="84">
        <f>'ESTADO DE GANACIAS Y PERDIDAS'!E17+'ESTADO DE GANACIAS Y PERDIDAS'!F17+'ESTADO DE GANACIAS Y PERDIDAS'!G17</f>
        <v>20450.023004887466</v>
      </c>
      <c r="F28" s="84">
        <f>'ESTADO DE GANACIAS Y PERDIDAS'!H17+'ESTADO DE GANACIAS Y PERDIDAS'!I17+'ESTADO DE GANACIAS Y PERDIDAS'!J17</f>
        <v>19058.777737242403</v>
      </c>
      <c r="G28" s="84">
        <f>'ESTADO DE GANACIAS Y PERDIDAS'!K17+'ESTADO DE GANACIAS Y PERDIDAS'!L17+'ESTADO DE GANACIAS Y PERDIDAS'!M17</f>
        <v>19079.852918429686</v>
      </c>
    </row>
    <row r="29" spans="1:18" x14ac:dyDescent="0.3">
      <c r="A29" s="69"/>
      <c r="B29" s="69" t="s">
        <v>143</v>
      </c>
      <c r="C29" s="70" t="s">
        <v>159</v>
      </c>
      <c r="D29" s="75"/>
      <c r="E29" s="84"/>
      <c r="F29" s="84"/>
      <c r="G29" s="84"/>
    </row>
    <row r="30" spans="1:18" x14ac:dyDescent="0.3">
      <c r="A30" s="461">
        <v>2.4</v>
      </c>
      <c r="B30" s="464" t="s">
        <v>144</v>
      </c>
      <c r="C30" s="464"/>
      <c r="D30" s="465">
        <f>SUM(D27:D29)</f>
        <v>32225.28055594139</v>
      </c>
      <c r="E30" s="465">
        <f t="shared" ref="E30:G30" si="11">SUM(E27:E29)</f>
        <v>32244.843004887465</v>
      </c>
      <c r="F30" s="465">
        <f t="shared" si="11"/>
        <v>30853.597737242402</v>
      </c>
      <c r="G30" s="465">
        <f t="shared" si="11"/>
        <v>30874.672918429686</v>
      </c>
    </row>
    <row r="31" spans="1:18" x14ac:dyDescent="0.3">
      <c r="A31" s="158">
        <v>2.5</v>
      </c>
      <c r="B31" s="159" t="s">
        <v>145</v>
      </c>
      <c r="C31" s="159"/>
      <c r="D31" s="160">
        <f t="shared" ref="D31:G31" si="12">D30+D25</f>
        <v>44099.192222773418</v>
      </c>
      <c r="E31" s="160">
        <f t="shared" si="12"/>
        <v>43390.628575816168</v>
      </c>
      <c r="F31" s="160">
        <f t="shared" si="12"/>
        <v>40638.678978091455</v>
      </c>
      <c r="G31" s="160">
        <f t="shared" si="12"/>
        <v>39875.323261048768</v>
      </c>
    </row>
    <row r="32" spans="1:18" x14ac:dyDescent="0.3">
      <c r="D32" s="242"/>
      <c r="E32" s="86"/>
      <c r="F32" s="86"/>
      <c r="G32" s="86"/>
      <c r="H32" s="640"/>
      <c r="I32" s="640"/>
      <c r="J32" s="640"/>
      <c r="K32" s="640"/>
      <c r="L32" s="640"/>
      <c r="M32" s="640"/>
      <c r="N32" s="640"/>
      <c r="O32" s="640"/>
      <c r="P32" s="640"/>
      <c r="Q32" s="640"/>
      <c r="R32" s="640"/>
    </row>
    <row r="33" spans="4:12" x14ac:dyDescent="0.3">
      <c r="D33" s="86"/>
      <c r="E33" s="86"/>
      <c r="F33" s="86"/>
      <c r="G33" s="86"/>
      <c r="H33" s="31"/>
      <c r="I33" s="31"/>
      <c r="J33" s="31"/>
      <c r="K33" s="31"/>
      <c r="L33" s="31"/>
    </row>
  </sheetData>
  <mergeCells count="3">
    <mergeCell ref="A3:C3"/>
    <mergeCell ref="A1:G1"/>
    <mergeCell ref="H32:R3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50"/>
  <sheetViews>
    <sheetView showGridLines="0" zoomScaleNormal="100" workbookViewId="0">
      <pane ySplit="1" topLeftCell="A2" activePane="bottomLeft" state="frozen"/>
      <selection pane="bottomLeft" activeCell="J29" sqref="J29"/>
    </sheetView>
  </sheetViews>
  <sheetFormatPr baseColWidth="10" defaultColWidth="13.7109375" defaultRowHeight="12.75" x14ac:dyDescent="0.25"/>
  <cols>
    <col min="1" max="1" width="23.28515625" style="27" customWidth="1"/>
    <col min="2" max="2" width="15.28515625" style="27" customWidth="1"/>
    <col min="3" max="3" width="10.140625" style="27" bestFit="1" customWidth="1"/>
    <col min="4" max="4" width="13.42578125" style="27" customWidth="1"/>
    <col min="5" max="5" width="11" style="27" customWidth="1"/>
    <col min="6" max="6" width="12.140625" style="27" customWidth="1"/>
    <col min="7" max="7" width="13.140625" style="27" customWidth="1"/>
    <col min="8" max="8" width="12.85546875" style="27" customWidth="1"/>
    <col min="9" max="10" width="12.7109375" style="27" customWidth="1"/>
    <col min="11" max="11" width="14.5703125" style="27" customWidth="1"/>
    <col min="12" max="12" width="11.7109375" style="27" customWidth="1"/>
    <col min="13" max="13" width="11.5703125" style="27" customWidth="1"/>
    <col min="14" max="14" width="11.28515625" style="27" customWidth="1"/>
    <col min="15" max="21" width="10.5703125" style="27" bestFit="1" customWidth="1"/>
    <col min="22" max="16384" width="13.7109375" style="27"/>
  </cols>
  <sheetData>
    <row r="1" spans="1:21" ht="13.5" x14ac:dyDescent="0.3">
      <c r="A1" s="31" t="s">
        <v>92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 t="s">
        <v>267</v>
      </c>
      <c r="N1" s="31"/>
    </row>
    <row r="2" spans="1:21" ht="13.5" x14ac:dyDescent="0.3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T2" s="360" t="s">
        <v>93</v>
      </c>
      <c r="U2" s="361">
        <v>7.1599999999999997E-2</v>
      </c>
    </row>
    <row r="3" spans="1:21" ht="13.5" x14ac:dyDescent="0.25">
      <c r="A3" s="142" t="s">
        <v>54</v>
      </c>
      <c r="B3" s="142">
        <v>0</v>
      </c>
      <c r="C3" s="142">
        <v>1</v>
      </c>
      <c r="D3" s="142">
        <v>2</v>
      </c>
      <c r="E3" s="142">
        <v>3</v>
      </c>
      <c r="F3" s="142">
        <v>4</v>
      </c>
      <c r="G3" s="142">
        <v>5</v>
      </c>
      <c r="H3" s="142">
        <v>6</v>
      </c>
      <c r="I3" s="142">
        <v>7</v>
      </c>
      <c r="J3" s="142">
        <v>8</v>
      </c>
      <c r="K3" s="142">
        <v>9</v>
      </c>
      <c r="L3" s="142">
        <v>10</v>
      </c>
      <c r="M3" s="142">
        <v>11</v>
      </c>
      <c r="N3" s="142">
        <v>12</v>
      </c>
      <c r="O3" s="285"/>
      <c r="P3" s="285"/>
      <c r="Q3" s="285"/>
      <c r="R3" s="285"/>
      <c r="S3" s="285"/>
      <c r="T3" s="285"/>
      <c r="U3" s="285"/>
    </row>
    <row r="4" spans="1:21" ht="13.5" x14ac:dyDescent="0.3">
      <c r="A4" s="33" t="s">
        <v>94</v>
      </c>
      <c r="B4" s="51">
        <v>0</v>
      </c>
      <c r="C4" s="79">
        <f>'ESTADO DE GANACIAS Y PERDIDAS'!B4</f>
        <v>15000</v>
      </c>
      <c r="D4" s="79">
        <f>'ESTADO DE GANACIAS Y PERDIDAS'!C4</f>
        <v>15000</v>
      </c>
      <c r="E4" s="79">
        <f>'ESTADO DE GANACIAS Y PERDIDAS'!D4</f>
        <v>15000</v>
      </c>
      <c r="F4" s="79">
        <f>'ESTADO DE GANACIAS Y PERDIDAS'!E4</f>
        <v>15000</v>
      </c>
      <c r="G4" s="79">
        <f>'ESTADO DE GANACIAS Y PERDIDAS'!F4</f>
        <v>15000</v>
      </c>
      <c r="H4" s="79">
        <f>'ESTADO DE GANACIAS Y PERDIDAS'!G4</f>
        <v>15000</v>
      </c>
      <c r="I4" s="79">
        <f>'ESTADO DE GANACIAS Y PERDIDAS'!H4</f>
        <v>15000</v>
      </c>
      <c r="J4" s="79">
        <f>'ESTADO DE GANACIAS Y PERDIDAS'!I4</f>
        <v>15000</v>
      </c>
      <c r="K4" s="79">
        <f>'ESTADO DE GANACIAS Y PERDIDAS'!J4</f>
        <v>15000</v>
      </c>
      <c r="L4" s="79">
        <f>'ESTADO DE GANACIAS Y PERDIDAS'!K4</f>
        <v>15000</v>
      </c>
      <c r="M4" s="79">
        <f>'ESTADO DE GANACIAS Y PERDIDAS'!L4</f>
        <v>15000</v>
      </c>
      <c r="N4" s="79">
        <f>'ESTADO DE GANACIAS Y PERDIDAS'!M4</f>
        <v>15000</v>
      </c>
      <c r="O4" s="289"/>
      <c r="P4" s="289"/>
      <c r="Q4" s="289"/>
      <c r="R4" s="289"/>
      <c r="S4" s="289"/>
      <c r="T4" s="289"/>
      <c r="U4" s="289"/>
    </row>
    <row r="5" spans="1:21" ht="13.5" x14ac:dyDescent="0.3">
      <c r="A5" s="33"/>
      <c r="B5" s="51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290"/>
      <c r="P5" s="290"/>
      <c r="Q5" s="290"/>
      <c r="R5" s="290"/>
      <c r="S5" s="290"/>
      <c r="T5" s="290"/>
      <c r="U5" s="290"/>
    </row>
    <row r="6" spans="1:21" ht="13.5" x14ac:dyDescent="0.3">
      <c r="A6" s="144" t="s">
        <v>95</v>
      </c>
      <c r="B6" s="51">
        <f>B7+B8+B9+B10</f>
        <v>20786.52</v>
      </c>
      <c r="C6" s="79">
        <f>C7+C8+C9+C10</f>
        <v>5235.3023333333331</v>
      </c>
      <c r="D6" s="79">
        <f t="shared" ref="D6:N6" si="0">D7+D8+D9+D10</f>
        <v>5235.3023333333331</v>
      </c>
      <c r="E6" s="79">
        <f t="shared" si="0"/>
        <v>5235.3023333333331</v>
      </c>
      <c r="F6" s="79">
        <f t="shared" si="0"/>
        <v>5235.3023333333331</v>
      </c>
      <c r="G6" s="79">
        <f t="shared" si="0"/>
        <v>5235.3023333333331</v>
      </c>
      <c r="H6" s="79">
        <f t="shared" si="0"/>
        <v>5235.3023333333331</v>
      </c>
      <c r="I6" s="79">
        <f t="shared" si="0"/>
        <v>7251.8023333333331</v>
      </c>
      <c r="J6" s="79">
        <f t="shared" si="0"/>
        <v>5235.3023333333331</v>
      </c>
      <c r="K6" s="79">
        <f t="shared" si="0"/>
        <v>5235.3023333333331</v>
      </c>
      <c r="L6" s="79">
        <f t="shared" si="0"/>
        <v>5235.3023333333331</v>
      </c>
      <c r="M6" s="79">
        <f t="shared" si="0"/>
        <v>5235.3023333333331</v>
      </c>
      <c r="N6" s="79">
        <f t="shared" si="0"/>
        <v>7251.8023333333331</v>
      </c>
      <c r="O6" s="289"/>
      <c r="P6" s="289"/>
      <c r="Q6" s="289"/>
      <c r="R6" s="289"/>
      <c r="S6" s="289"/>
      <c r="T6" s="289"/>
      <c r="U6" s="289"/>
    </row>
    <row r="7" spans="1:21" ht="13.5" x14ac:dyDescent="0.3">
      <c r="A7" s="33" t="s">
        <v>96</v>
      </c>
      <c r="B7" s="398">
        <f>'INVERSION TOTAL'!E56</f>
        <v>20786.52</v>
      </c>
      <c r="C7" s="80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290"/>
      <c r="P7" s="290"/>
      <c r="Q7" s="290"/>
      <c r="R7" s="290"/>
      <c r="S7" s="290"/>
      <c r="T7" s="290"/>
      <c r="U7" s="290"/>
    </row>
    <row r="8" spans="1:21" ht="13.5" x14ac:dyDescent="0.3">
      <c r="A8" s="33" t="s">
        <v>321</v>
      </c>
      <c r="B8" s="51"/>
      <c r="C8" s="79">
        <f>'PRESUPUESTO DE GASTOS'!B4</f>
        <v>3746.5</v>
      </c>
      <c r="D8" s="79">
        <f>'PRESUPUESTO DE GASTOS'!C4</f>
        <v>3746.5</v>
      </c>
      <c r="E8" s="79">
        <f>'PRESUPUESTO DE GASTOS'!D4</f>
        <v>3746.5</v>
      </c>
      <c r="F8" s="79">
        <f>'PRESUPUESTO DE GASTOS'!E4</f>
        <v>3746.5</v>
      </c>
      <c r="G8" s="79">
        <f>'PRESUPUESTO DE GASTOS'!F4</f>
        <v>3746.5</v>
      </c>
      <c r="H8" s="79">
        <f>'PRESUPUESTO DE GASTOS'!G4</f>
        <v>3746.5</v>
      </c>
      <c r="I8" s="79">
        <f>'PRESUPUESTO DE GASTOS'!H4</f>
        <v>4673</v>
      </c>
      <c r="J8" s="79">
        <f>'PRESUPUESTO DE GASTOS'!I4</f>
        <v>3746.5</v>
      </c>
      <c r="K8" s="79">
        <f>'PRESUPUESTO DE GASTOS'!J4</f>
        <v>3746.5</v>
      </c>
      <c r="L8" s="79">
        <f>'PRESUPUESTO DE GASTOS'!K4</f>
        <v>3746.5</v>
      </c>
      <c r="M8" s="79">
        <f>'PRESUPUESTO DE GASTOS'!L4</f>
        <v>3746.5</v>
      </c>
      <c r="N8" s="79">
        <f>'PRESUPUESTO DE GASTOS'!M4</f>
        <v>4673</v>
      </c>
      <c r="O8" s="289"/>
      <c r="P8" s="289"/>
      <c r="Q8" s="289"/>
      <c r="R8" s="289"/>
      <c r="S8" s="289"/>
      <c r="T8" s="289"/>
      <c r="U8" s="289"/>
    </row>
    <row r="9" spans="1:21" ht="13.5" x14ac:dyDescent="0.3">
      <c r="A9" s="33" t="s">
        <v>97</v>
      </c>
      <c r="B9" s="51"/>
      <c r="C9" s="79">
        <f>'PRESUPUESTO DE GASTOS'!B18</f>
        <v>200</v>
      </c>
      <c r="D9" s="79">
        <f>'PRESUPUESTO DE GASTOS'!C18</f>
        <v>200</v>
      </c>
      <c r="E9" s="79">
        <f>'PRESUPUESTO DE GASTOS'!D18</f>
        <v>200</v>
      </c>
      <c r="F9" s="79">
        <f>'PRESUPUESTO DE GASTOS'!E18</f>
        <v>200</v>
      </c>
      <c r="G9" s="79">
        <f>'PRESUPUESTO DE GASTOS'!F18</f>
        <v>200</v>
      </c>
      <c r="H9" s="79">
        <f>'PRESUPUESTO DE GASTOS'!G18</f>
        <v>200</v>
      </c>
      <c r="I9" s="79">
        <f>'PRESUPUESTO DE GASTOS'!H18</f>
        <v>200</v>
      </c>
      <c r="J9" s="79">
        <f>'PRESUPUESTO DE GASTOS'!I18</f>
        <v>200</v>
      </c>
      <c r="K9" s="79">
        <f>'PRESUPUESTO DE GASTOS'!J18</f>
        <v>200</v>
      </c>
      <c r="L9" s="79">
        <f>'PRESUPUESTO DE GASTOS'!K18</f>
        <v>200</v>
      </c>
      <c r="M9" s="79">
        <f>'PRESUPUESTO DE GASTOS'!L18</f>
        <v>200</v>
      </c>
      <c r="N9" s="79">
        <f>'PRESUPUESTO DE GASTOS'!M18</f>
        <v>200</v>
      </c>
      <c r="O9" s="289"/>
      <c r="P9" s="289"/>
      <c r="Q9" s="289"/>
      <c r="R9" s="289"/>
      <c r="S9" s="289"/>
      <c r="T9" s="289"/>
      <c r="U9" s="289"/>
    </row>
    <row r="10" spans="1:21" ht="13.5" x14ac:dyDescent="0.3">
      <c r="A10" s="33" t="s">
        <v>320</v>
      </c>
      <c r="B10" s="51"/>
      <c r="C10" s="79">
        <f>'PRESUPUESTO DE GASTOS'!B22</f>
        <v>1288.8023333333333</v>
      </c>
      <c r="D10" s="79">
        <f>'PRESUPUESTO DE GASTOS'!C22</f>
        <v>1288.8023333333333</v>
      </c>
      <c r="E10" s="79">
        <f>'PRESUPUESTO DE GASTOS'!D22</f>
        <v>1288.8023333333333</v>
      </c>
      <c r="F10" s="79">
        <f>'PRESUPUESTO DE GASTOS'!E22</f>
        <v>1288.8023333333333</v>
      </c>
      <c r="G10" s="79">
        <f>'PRESUPUESTO DE GASTOS'!F22</f>
        <v>1288.8023333333333</v>
      </c>
      <c r="H10" s="79">
        <f>'PRESUPUESTO DE GASTOS'!G22</f>
        <v>1288.8023333333333</v>
      </c>
      <c r="I10" s="79">
        <f>'PRESUPUESTO DE GASTOS'!H22</f>
        <v>2378.8023333333335</v>
      </c>
      <c r="J10" s="79">
        <f>'PRESUPUESTO DE GASTOS'!I22</f>
        <v>1288.8023333333333</v>
      </c>
      <c r="K10" s="79">
        <f>'PRESUPUESTO DE GASTOS'!J22</f>
        <v>1288.8023333333333</v>
      </c>
      <c r="L10" s="79">
        <f>'PRESUPUESTO DE GASTOS'!K22</f>
        <v>1288.8023333333333</v>
      </c>
      <c r="M10" s="79">
        <f>'PRESUPUESTO DE GASTOS'!L22</f>
        <v>1288.8023333333333</v>
      </c>
      <c r="N10" s="79">
        <f>'PRESUPUESTO DE GASTOS'!M22</f>
        <v>2378.8023333333335</v>
      </c>
      <c r="O10" s="289"/>
      <c r="P10" s="289"/>
      <c r="Q10" s="289"/>
      <c r="R10" s="289"/>
      <c r="S10" s="289"/>
      <c r="T10" s="289"/>
      <c r="U10" s="289"/>
    </row>
    <row r="11" spans="1:21" ht="13.5" x14ac:dyDescent="0.3">
      <c r="A11" s="33"/>
      <c r="B11" s="51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290"/>
      <c r="P11" s="290"/>
      <c r="Q11" s="290"/>
      <c r="R11" s="290"/>
      <c r="S11" s="290"/>
      <c r="T11" s="290"/>
      <c r="U11" s="290"/>
    </row>
    <row r="12" spans="1:21" ht="13.5" x14ac:dyDescent="0.3">
      <c r="A12" s="144" t="s">
        <v>98</v>
      </c>
      <c r="B12" s="163">
        <f>B4-B6</f>
        <v>-20786.52</v>
      </c>
      <c r="C12" s="163">
        <f>C4-C6</f>
        <v>9764.6976666666669</v>
      </c>
      <c r="D12" s="163">
        <f t="shared" ref="D12:N12" si="1">D4-D6</f>
        <v>9764.6976666666669</v>
      </c>
      <c r="E12" s="163">
        <f t="shared" si="1"/>
        <v>9764.6976666666669</v>
      </c>
      <c r="F12" s="163">
        <f t="shared" si="1"/>
        <v>9764.6976666666669</v>
      </c>
      <c r="G12" s="163">
        <f t="shared" si="1"/>
        <v>9764.6976666666669</v>
      </c>
      <c r="H12" s="163">
        <f t="shared" si="1"/>
        <v>9764.6976666666669</v>
      </c>
      <c r="I12" s="163">
        <f>I4-I6</f>
        <v>7748.1976666666669</v>
      </c>
      <c r="J12" s="163">
        <f t="shared" si="1"/>
        <v>9764.6976666666669</v>
      </c>
      <c r="K12" s="163">
        <f t="shared" si="1"/>
        <v>9764.6976666666669</v>
      </c>
      <c r="L12" s="163">
        <f t="shared" si="1"/>
        <v>9764.6976666666669</v>
      </c>
      <c r="M12" s="163">
        <f t="shared" si="1"/>
        <v>9764.6976666666669</v>
      </c>
      <c r="N12" s="163">
        <f t="shared" si="1"/>
        <v>7748.1976666666669</v>
      </c>
      <c r="O12" s="289"/>
      <c r="P12" s="289"/>
      <c r="Q12" s="289"/>
      <c r="R12" s="289"/>
      <c r="S12" s="289"/>
      <c r="T12" s="289"/>
      <c r="U12" s="289"/>
    </row>
    <row r="13" spans="1:21" ht="13.5" x14ac:dyDescent="0.3">
      <c r="A13" s="33" t="s">
        <v>99</v>
      </c>
      <c r="B13" s="466">
        <f>'AMORTIZACION DE CREDITO'!C3</f>
        <v>3118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290"/>
      <c r="P13" s="290"/>
      <c r="Q13" s="290"/>
      <c r="R13" s="290"/>
      <c r="S13" s="290"/>
      <c r="T13" s="290"/>
      <c r="U13" s="290"/>
    </row>
    <row r="14" spans="1:21" ht="13.5" x14ac:dyDescent="0.3">
      <c r="A14" s="33" t="s">
        <v>100</v>
      </c>
      <c r="B14" s="51"/>
      <c r="C14" s="79">
        <f>+'AMORTIZACION DE CREDITO'!D16</f>
        <v>242.46202960207981</v>
      </c>
      <c r="D14" s="79">
        <f>+'AMORTIZACION DE CREDITO'!D17</f>
        <v>245.49072330869609</v>
      </c>
      <c r="E14" s="79">
        <f>+'AMORTIZACION DE CREDITO'!D18</f>
        <v>248.55724968372465</v>
      </c>
      <c r="F14" s="79">
        <f>+'AMORTIZACION DE CREDITO'!D19</f>
        <v>251.66208131070732</v>
      </c>
      <c r="G14" s="79">
        <f>+'AMORTIZACION DE CREDITO'!D20</f>
        <v>254.80569667642294</v>
      </c>
      <c r="H14" s="79">
        <f>+'AMORTIZACION DE CREDITO'!D21</f>
        <v>257.98858024462697</v>
      </c>
      <c r="I14" s="79">
        <f>+'AMORTIZACION DE CREDITO'!D22</f>
        <v>261.21122253071246</v>
      </c>
      <c r="J14" s="79">
        <f>+'AMORTIZACION DE CREDITO'!D23</f>
        <v>264.47412017730352</v>
      </c>
      <c r="K14" s="79">
        <f>+'AMORTIZACION DE CREDITO'!D24</f>
        <v>267.77777603079312</v>
      </c>
      <c r="L14" s="79">
        <f>+'AMORTIZACION DE CREDITO'!D25</f>
        <v>271.12269921883694</v>
      </c>
      <c r="M14" s="79">
        <f>+'AMORTIZACION DE CREDITO'!D26</f>
        <v>274.5094052288153</v>
      </c>
      <c r="N14" s="79">
        <f>+'AMORTIZACION DE CREDITO'!$D27</f>
        <v>277.93841598727494</v>
      </c>
      <c r="O14" s="289"/>
      <c r="P14" s="289"/>
      <c r="Q14" s="289"/>
      <c r="R14" s="289"/>
      <c r="S14" s="289"/>
      <c r="T14" s="289"/>
      <c r="U14" s="289"/>
    </row>
    <row r="15" spans="1:21" ht="13.5" x14ac:dyDescent="0.3">
      <c r="A15" s="33" t="s">
        <v>101</v>
      </c>
      <c r="B15" s="51"/>
      <c r="C15" s="79">
        <f>+'ESTADO DE GANACIAS Y PERDIDAS'!B13</f>
        <v>38.948230338283764</v>
      </c>
      <c r="D15" s="79">
        <f>+'ESTADO DE GANACIAS Y PERDIDAS'!C13</f>
        <v>35.919536631667476</v>
      </c>
      <c r="E15" s="79">
        <f>+'ESTADO DE GANACIAS Y PERDIDAS'!D13</f>
        <v>32.853010256638939</v>
      </c>
      <c r="F15" s="79">
        <f>+'ESTADO DE GANACIAS Y PERDIDAS'!E13</f>
        <v>29.748178629656255</v>
      </c>
      <c r="G15" s="79">
        <f>+'ESTADO DE GANACIAS Y PERDIDAS'!F13</f>
        <v>26.604563263940626</v>
      </c>
      <c r="H15" s="79">
        <f>+'ESTADO DE GANACIAS Y PERDIDAS'!G13</f>
        <v>23.421679695736589</v>
      </c>
      <c r="I15" s="79">
        <f>+'ESTADO DE GANACIAS Y PERDIDAS'!H13</f>
        <v>20.199037409651108</v>
      </c>
      <c r="J15" s="79">
        <f>+'ESTADO DE GANACIAS Y PERDIDAS'!I13</f>
        <v>16.936139763060062</v>
      </c>
      <c r="K15" s="79">
        <f>+'ESTADO DE GANACIAS Y PERDIDAS'!J13</f>
        <v>13.632483909570464</v>
      </c>
      <c r="L15" s="79">
        <f>+'ESTADO DE GANACIAS Y PERDIDAS'!K13</f>
        <v>10.287560721526631</v>
      </c>
      <c r="M15" s="79">
        <f>+'ESTADO DE GANACIAS Y PERDIDAS'!L13</f>
        <v>6.900854711548277</v>
      </c>
      <c r="N15" s="79">
        <f>+'ESTADO DE GANACIAS Y PERDIDAS'!M13</f>
        <v>3.4718439530886371</v>
      </c>
      <c r="O15" s="289"/>
      <c r="P15" s="289"/>
      <c r="Q15" s="289"/>
      <c r="R15" s="289"/>
      <c r="S15" s="289"/>
      <c r="T15" s="289"/>
      <c r="U15" s="289"/>
    </row>
    <row r="16" spans="1:21" ht="13.5" x14ac:dyDescent="0.3">
      <c r="A16" s="33"/>
      <c r="B16" s="51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290"/>
      <c r="P16" s="290"/>
      <c r="Q16" s="290"/>
      <c r="R16" s="290"/>
      <c r="S16" s="290"/>
      <c r="T16" s="290"/>
      <c r="U16" s="290"/>
    </row>
    <row r="17" spans="1:21" ht="13.5" x14ac:dyDescent="0.3">
      <c r="A17" s="144" t="s">
        <v>102</v>
      </c>
      <c r="B17" s="163">
        <f>B12+B13</f>
        <v>-17668.52</v>
      </c>
      <c r="C17" s="163">
        <f>C12-C14-C15</f>
        <v>9483.2874067263037</v>
      </c>
      <c r="D17" s="163">
        <f t="shared" ref="D17:N17" si="2">D12-D14-D15</f>
        <v>9483.2874067263037</v>
      </c>
      <c r="E17" s="163">
        <f t="shared" si="2"/>
        <v>9483.2874067263037</v>
      </c>
      <c r="F17" s="163">
        <f t="shared" si="2"/>
        <v>9483.2874067263037</v>
      </c>
      <c r="G17" s="163">
        <f t="shared" si="2"/>
        <v>9483.2874067263037</v>
      </c>
      <c r="H17" s="163">
        <f t="shared" si="2"/>
        <v>9483.2874067263037</v>
      </c>
      <c r="I17" s="163">
        <f t="shared" si="2"/>
        <v>7466.7874067263028</v>
      </c>
      <c r="J17" s="163">
        <f t="shared" si="2"/>
        <v>9483.2874067263037</v>
      </c>
      <c r="K17" s="163">
        <f t="shared" si="2"/>
        <v>9483.2874067263037</v>
      </c>
      <c r="L17" s="163">
        <f t="shared" si="2"/>
        <v>9483.2874067263037</v>
      </c>
      <c r="M17" s="163">
        <f t="shared" si="2"/>
        <v>9483.2874067263037</v>
      </c>
      <c r="N17" s="163">
        <f t="shared" si="2"/>
        <v>7466.7874067263028</v>
      </c>
      <c r="O17" s="289"/>
      <c r="P17" s="289"/>
      <c r="Q17" s="289"/>
      <c r="R17" s="289"/>
      <c r="S17" s="289"/>
      <c r="T17" s="289"/>
      <c r="U17" s="289"/>
    </row>
    <row r="18" spans="1:21" ht="13.5" x14ac:dyDescent="0.3">
      <c r="A18" s="604" t="s">
        <v>103</v>
      </c>
      <c r="B18" s="466">
        <f>FINANCIAMIENTO!D5</f>
        <v>17668.52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290"/>
      <c r="P18" s="290"/>
      <c r="Q18" s="290"/>
      <c r="R18" s="290"/>
      <c r="S18" s="290"/>
      <c r="T18" s="290"/>
      <c r="U18" s="290"/>
    </row>
    <row r="19" spans="1:21" ht="13.5" x14ac:dyDescent="0.3">
      <c r="A19" s="33" t="s">
        <v>104</v>
      </c>
      <c r="B19" s="80">
        <v>0</v>
      </c>
      <c r="C19" s="80">
        <f>C17</f>
        <v>9483.2874067263037</v>
      </c>
      <c r="D19" s="80">
        <f t="shared" ref="D19:N19" si="3">C19+D17</f>
        <v>18966.574813452607</v>
      </c>
      <c r="E19" s="80">
        <f t="shared" si="3"/>
        <v>28449.862220178911</v>
      </c>
      <c r="F19" s="80">
        <f t="shared" si="3"/>
        <v>37933.149626905215</v>
      </c>
      <c r="G19" s="80">
        <f t="shared" si="3"/>
        <v>47416.437033631519</v>
      </c>
      <c r="H19" s="80">
        <f t="shared" si="3"/>
        <v>56899.724440357822</v>
      </c>
      <c r="I19" s="80">
        <f t="shared" si="3"/>
        <v>64366.511847084126</v>
      </c>
      <c r="J19" s="80">
        <f t="shared" si="3"/>
        <v>73849.79925381043</v>
      </c>
      <c r="K19" s="80">
        <f t="shared" si="3"/>
        <v>83333.086660536734</v>
      </c>
      <c r="L19" s="80">
        <f t="shared" si="3"/>
        <v>92816.374067263037</v>
      </c>
      <c r="M19" s="80">
        <f t="shared" si="3"/>
        <v>102299.66147398934</v>
      </c>
      <c r="N19" s="80">
        <f t="shared" si="3"/>
        <v>109766.44888071564</v>
      </c>
      <c r="O19" s="290"/>
      <c r="P19" s="290"/>
      <c r="Q19" s="290"/>
      <c r="R19" s="290"/>
      <c r="S19" s="290"/>
      <c r="T19" s="290"/>
      <c r="U19" s="290"/>
    </row>
    <row r="20" spans="1:21" ht="13.5" x14ac:dyDescent="0.3">
      <c r="A20" s="605" t="s">
        <v>118</v>
      </c>
      <c r="B20" s="606">
        <f>IRR(B17:N17)</f>
        <v>0.53002293167444847</v>
      </c>
      <c r="C20" s="358"/>
      <c r="D20" s="358"/>
      <c r="E20" s="52"/>
      <c r="F20" s="15"/>
    </row>
    <row r="21" spans="1:21" ht="13.5" x14ac:dyDescent="0.3">
      <c r="A21" s="605" t="s">
        <v>119</v>
      </c>
      <c r="B21" s="607">
        <f>NPV(U2,B17:N17)</f>
        <v>51226.194137771177</v>
      </c>
      <c r="C21" s="359"/>
      <c r="D21" s="52"/>
      <c r="E21" s="52"/>
      <c r="F21" s="52"/>
    </row>
    <row r="22" spans="1:21" ht="13.5" x14ac:dyDescent="0.3">
      <c r="A22" s="608" t="s">
        <v>258</v>
      </c>
      <c r="B22" s="606">
        <f>IRR(B12:N12)</f>
        <v>0.46118346012728417</v>
      </c>
      <c r="C22" s="52"/>
      <c r="D22" s="550"/>
      <c r="E22" s="52"/>
      <c r="F22" s="52"/>
    </row>
    <row r="23" spans="1:21" ht="13.5" x14ac:dyDescent="0.3">
      <c r="A23" s="608" t="s">
        <v>259</v>
      </c>
      <c r="B23" s="609">
        <f>NPV(U2,B12:U12)</f>
        <v>50384.665245158576</v>
      </c>
      <c r="C23" s="52"/>
      <c r="D23" s="52"/>
      <c r="E23" s="52"/>
      <c r="F23" s="52"/>
    </row>
    <row r="24" spans="1:21" ht="15" customHeight="1" x14ac:dyDescent="0.25">
      <c r="D24" s="256"/>
      <c r="E24" s="40"/>
    </row>
    <row r="25" spans="1:21" ht="15" customHeight="1" x14ac:dyDescent="0.25">
      <c r="D25" s="295"/>
      <c r="E25" s="40"/>
      <c r="K25" s="517"/>
      <c r="S25" s="268"/>
    </row>
    <row r="26" spans="1:21" ht="15" customHeight="1" x14ac:dyDescent="0.25">
      <c r="B26" s="40"/>
      <c r="C26" s="40"/>
      <c r="D26" s="295"/>
      <c r="S26" s="268"/>
    </row>
    <row r="27" spans="1:21" ht="15" customHeight="1" x14ac:dyDescent="0.25">
      <c r="D27" s="295"/>
      <c r="I27" s="267"/>
      <c r="S27" s="268"/>
    </row>
    <row r="28" spans="1:21" ht="15" customHeight="1" x14ac:dyDescent="0.25">
      <c r="D28" s="256"/>
      <c r="S28" s="268"/>
    </row>
    <row r="29" spans="1:21" ht="15" customHeight="1" x14ac:dyDescent="0.25">
      <c r="D29" s="256"/>
      <c r="S29" s="268"/>
    </row>
    <row r="30" spans="1:21" ht="15" customHeight="1" x14ac:dyDescent="0.25">
      <c r="D30" s="256"/>
      <c r="S30" s="268"/>
    </row>
    <row r="31" spans="1:21" x14ac:dyDescent="0.25">
      <c r="B31" s="256"/>
      <c r="S31" s="268"/>
    </row>
    <row r="32" spans="1:21" x14ac:dyDescent="0.25">
      <c r="S32" s="268"/>
    </row>
    <row r="33" spans="4:19" x14ac:dyDescent="0.25">
      <c r="D33" s="559"/>
      <c r="S33" s="268"/>
    </row>
    <row r="34" spans="4:19" x14ac:dyDescent="0.25">
      <c r="S34" s="268"/>
    </row>
    <row r="35" spans="4:19" x14ac:dyDescent="0.25">
      <c r="S35" s="268"/>
    </row>
    <row r="36" spans="4:19" x14ac:dyDescent="0.25">
      <c r="S36" s="268"/>
    </row>
    <row r="37" spans="4:19" x14ac:dyDescent="0.25">
      <c r="S37" s="268"/>
    </row>
    <row r="38" spans="4:19" x14ac:dyDescent="0.25">
      <c r="S38" s="268"/>
    </row>
    <row r="39" spans="4:19" x14ac:dyDescent="0.25">
      <c r="S39" s="268"/>
    </row>
    <row r="40" spans="4:19" x14ac:dyDescent="0.25">
      <c r="S40" s="268"/>
    </row>
    <row r="41" spans="4:19" x14ac:dyDescent="0.25">
      <c r="S41" s="268"/>
    </row>
    <row r="42" spans="4:19" x14ac:dyDescent="0.25">
      <c r="S42" s="268"/>
    </row>
    <row r="43" spans="4:19" x14ac:dyDescent="0.25">
      <c r="S43" s="268"/>
    </row>
    <row r="44" spans="4:19" x14ac:dyDescent="0.25">
      <c r="S44" s="268"/>
    </row>
    <row r="45" spans="4:19" x14ac:dyDescent="0.25">
      <c r="S45" s="268"/>
    </row>
    <row r="46" spans="4:19" x14ac:dyDescent="0.25">
      <c r="S46" s="268"/>
    </row>
    <row r="47" spans="4:19" x14ac:dyDescent="0.25">
      <c r="S47" s="268"/>
    </row>
    <row r="48" spans="4:19" x14ac:dyDescent="0.25">
      <c r="S48" s="268"/>
    </row>
    <row r="49" spans="19:19" x14ac:dyDescent="0.25">
      <c r="S49" s="268"/>
    </row>
    <row r="50" spans="19:19" x14ac:dyDescent="0.25">
      <c r="S50" s="268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O46"/>
  <sheetViews>
    <sheetView topLeftCell="C13" zoomScale="75" zoomScaleNormal="75" workbookViewId="0">
      <selection activeCell="D39" sqref="D39"/>
    </sheetView>
  </sheetViews>
  <sheetFormatPr baseColWidth="10" defaultRowHeight="15" x14ac:dyDescent="0.25"/>
  <cols>
    <col min="1" max="1" width="3.85546875" customWidth="1"/>
    <col min="2" max="2" width="52.140625" customWidth="1"/>
    <col min="3" max="3" width="27.85546875" customWidth="1"/>
    <col min="4" max="4" width="19.42578125" customWidth="1"/>
    <col min="5" max="5" width="16.7109375" customWidth="1"/>
    <col min="6" max="6" width="19.5703125" customWidth="1"/>
    <col min="7" max="7" width="18.140625" customWidth="1"/>
    <col min="8" max="8" width="14.7109375" customWidth="1"/>
    <col min="9" max="9" width="12.7109375" bestFit="1" customWidth="1"/>
    <col min="10" max="10" width="12" bestFit="1" customWidth="1"/>
    <col min="13" max="13" width="13" bestFit="1" customWidth="1"/>
    <col min="14" max="14" width="13.7109375" customWidth="1"/>
  </cols>
  <sheetData>
    <row r="2" spans="2:9" ht="42" customHeight="1" x14ac:dyDescent="0.25">
      <c r="B2" s="324" t="s">
        <v>210</v>
      </c>
      <c r="C2" s="641" t="s">
        <v>211</v>
      </c>
      <c r="D2" s="641"/>
      <c r="E2" s="641"/>
      <c r="F2" s="641"/>
      <c r="G2" s="641"/>
      <c r="H2" s="641"/>
      <c r="I2" s="641"/>
    </row>
    <row r="5" spans="2:9" x14ac:dyDescent="0.25">
      <c r="D5" s="27"/>
      <c r="E5" s="27"/>
      <c r="F5" s="27"/>
    </row>
    <row r="6" spans="2:9" x14ac:dyDescent="0.25">
      <c r="D6" s="27"/>
      <c r="E6" s="27"/>
      <c r="F6" s="27"/>
    </row>
    <row r="7" spans="2:9" x14ac:dyDescent="0.25">
      <c r="D7" s="27"/>
      <c r="E7" s="27"/>
      <c r="F7" s="27"/>
    </row>
    <row r="9" spans="2:9" x14ac:dyDescent="0.25">
      <c r="B9" s="250"/>
    </row>
    <row r="10" spans="2:9" x14ac:dyDescent="0.25">
      <c r="B10" s="250"/>
    </row>
    <row r="11" spans="2:9" x14ac:dyDescent="0.25">
      <c r="B11" s="250"/>
    </row>
    <row r="12" spans="2:9" x14ac:dyDescent="0.25">
      <c r="B12" s="250"/>
    </row>
    <row r="13" spans="2:9" x14ac:dyDescent="0.25">
      <c r="B13" s="250"/>
    </row>
    <row r="14" spans="2:9" x14ac:dyDescent="0.25">
      <c r="B14" s="332"/>
    </row>
    <row r="16" spans="2:9" x14ac:dyDescent="0.25">
      <c r="B16" s="249"/>
      <c r="C16" s="626" t="s">
        <v>268</v>
      </c>
      <c r="D16" s="626"/>
      <c r="E16" s="626"/>
      <c r="F16" s="626"/>
    </row>
    <row r="17" spans="1:14" x14ac:dyDescent="0.25">
      <c r="C17" s="249"/>
      <c r="E17" s="325" t="s">
        <v>253</v>
      </c>
      <c r="F17" s="326">
        <f>'FLUJO DE CAJA ECON FINANCI'!U2</f>
        <v>7.1599999999999997E-2</v>
      </c>
      <c r="L17" s="514"/>
    </row>
    <row r="18" spans="1:14" x14ac:dyDescent="0.25">
      <c r="A18" s="258" t="s">
        <v>225</v>
      </c>
      <c r="C18" s="317"/>
      <c r="D18" s="317"/>
      <c r="E18" s="317" t="s">
        <v>212</v>
      </c>
      <c r="F18" s="317" t="s">
        <v>213</v>
      </c>
      <c r="G18" s="317" t="s">
        <v>212</v>
      </c>
      <c r="H18" s="317" t="s">
        <v>212</v>
      </c>
      <c r="L18" s="514"/>
    </row>
    <row r="19" spans="1:14" x14ac:dyDescent="0.25">
      <c r="C19" s="318" t="s">
        <v>252</v>
      </c>
      <c r="D19" s="318" t="s">
        <v>214</v>
      </c>
      <c r="E19" s="318" t="s">
        <v>215</v>
      </c>
      <c r="F19" s="318" t="s">
        <v>216</v>
      </c>
      <c r="G19" s="318" t="s">
        <v>215</v>
      </c>
      <c r="H19" s="318" t="s">
        <v>215</v>
      </c>
      <c r="L19" s="514"/>
    </row>
    <row r="20" spans="1:14" x14ac:dyDescent="0.25">
      <c r="C20" s="315"/>
      <c r="D20" s="329" t="s">
        <v>255</v>
      </c>
      <c r="E20" s="329" t="s">
        <v>256</v>
      </c>
      <c r="F20" s="329" t="s">
        <v>257</v>
      </c>
      <c r="G20" s="315" t="s">
        <v>217</v>
      </c>
      <c r="H20" s="315" t="s">
        <v>218</v>
      </c>
      <c r="L20" s="515"/>
    </row>
    <row r="21" spans="1:14" x14ac:dyDescent="0.25">
      <c r="C21" s="319">
        <v>0</v>
      </c>
      <c r="D21" s="469">
        <f>-'FLUJO DE CAJA ECON FINANCI'!B12</f>
        <v>20786.52</v>
      </c>
      <c r="E21" s="321"/>
      <c r="F21" s="320">
        <v>1</v>
      </c>
      <c r="G21" s="321"/>
      <c r="H21" s="321"/>
      <c r="I21" s="241"/>
      <c r="L21" s="515"/>
    </row>
    <row r="22" spans="1:14" x14ac:dyDescent="0.25">
      <c r="C22" s="319">
        <v>1</v>
      </c>
      <c r="D22" s="321"/>
      <c r="E22" s="323">
        <f>+'FLUJO DE CAJA ECON FINANCI'!C12</f>
        <v>9764.6976666666669</v>
      </c>
      <c r="F22" s="322">
        <f>1/POWER(1+$F$17,C22)</f>
        <v>0.93318402388951094</v>
      </c>
      <c r="G22" s="327">
        <f>E22*F22</f>
        <v>9112.259860644519</v>
      </c>
      <c r="H22" s="327">
        <f>G22</f>
        <v>9112.259860644519</v>
      </c>
      <c r="I22" s="336"/>
      <c r="J22" s="241"/>
      <c r="K22" s="204"/>
      <c r="L22" s="513"/>
      <c r="M22" s="241"/>
      <c r="N22" s="241"/>
    </row>
    <row r="23" spans="1:14" x14ac:dyDescent="0.25">
      <c r="C23" s="319">
        <v>2</v>
      </c>
      <c r="D23" s="321"/>
      <c r="E23" s="323">
        <f>+'FLUJO DE CAJA ECON FINANCI'!D12</f>
        <v>9764.6976666666669</v>
      </c>
      <c r="F23" s="322">
        <f>1/POWER(1+$F$17,C23)</f>
        <v>0.87083242244261916</v>
      </c>
      <c r="G23" s="327">
        <f>E23*F23</f>
        <v>8503.4153234831247</v>
      </c>
      <c r="H23" s="327">
        <f>H22+G23</f>
        <v>17615.675184127642</v>
      </c>
      <c r="I23" s="336"/>
      <c r="K23" s="204"/>
      <c r="L23" s="513"/>
      <c r="M23" s="241"/>
      <c r="N23" s="241"/>
    </row>
    <row r="24" spans="1:14" x14ac:dyDescent="0.25">
      <c r="C24" s="319">
        <v>3</v>
      </c>
      <c r="D24" s="321"/>
      <c r="E24" s="323">
        <f>+'FLUJO DE CAJA ECON FINANCI'!E12</f>
        <v>9764.6976666666669</v>
      </c>
      <c r="F24" s="322">
        <f>1/POWER(1+$F$17,C24)</f>
        <v>0.81264690410845375</v>
      </c>
      <c r="G24" s="327">
        <f>E24*F24</f>
        <v>7935.251328371709</v>
      </c>
      <c r="H24" s="327">
        <f>H23+G24</f>
        <v>25550.926512499351</v>
      </c>
      <c r="I24" s="336"/>
      <c r="K24" s="204"/>
      <c r="L24" s="513"/>
      <c r="M24" s="241"/>
      <c r="N24" s="241"/>
    </row>
    <row r="25" spans="1:14" x14ac:dyDescent="0.25">
      <c r="C25" s="567">
        <v>4</v>
      </c>
      <c r="D25" s="568"/>
      <c r="E25" s="569">
        <f>+'FLUJO DE CAJA ECON FINANCI'!F12</f>
        <v>9764.6976666666669</v>
      </c>
      <c r="F25" s="570">
        <f t="shared" ref="F25:F31" si="0">1/POWER(1+$F$17,C25)</f>
        <v>0.7583491079772805</v>
      </c>
      <c r="G25" s="571">
        <f t="shared" ref="G25:G33" si="1">E25*F25</f>
        <v>7405.0497651844989</v>
      </c>
      <c r="H25" s="571">
        <f t="shared" ref="H25:H33" si="2">H24+G25</f>
        <v>32955.976277683847</v>
      </c>
      <c r="I25" s="479"/>
      <c r="K25" s="204"/>
      <c r="L25" s="513"/>
      <c r="M25" s="241"/>
      <c r="N25" s="241"/>
    </row>
    <row r="26" spans="1:14" x14ac:dyDescent="0.25">
      <c r="C26" s="596">
        <v>5</v>
      </c>
      <c r="D26" s="597"/>
      <c r="E26" s="598">
        <f>+'FLUJO DE CAJA ECON FINANCI'!G12</f>
        <v>9764.6976666666669</v>
      </c>
      <c r="F26" s="599">
        <f t="shared" si="0"/>
        <v>0.70767927209525983</v>
      </c>
      <c r="G26" s="600">
        <f t="shared" si="1"/>
        <v>6910.2741369769492</v>
      </c>
      <c r="H26" s="600">
        <f t="shared" si="2"/>
        <v>39866.250414660797</v>
      </c>
      <c r="I26" s="336"/>
      <c r="K26" s="204"/>
      <c r="L26" s="513"/>
      <c r="M26" s="241"/>
      <c r="N26" s="241"/>
    </row>
    <row r="27" spans="1:14" x14ac:dyDescent="0.25">
      <c r="C27" s="437">
        <v>6</v>
      </c>
      <c r="D27" s="438"/>
      <c r="E27" s="439">
        <f>+'FLUJO DE CAJA ECON FINANCI'!H12</f>
        <v>9764.6976666666669</v>
      </c>
      <c r="F27" s="440">
        <f>1/POWER(1+$F$17,C27)</f>
        <v>0.66039499075705455</v>
      </c>
      <c r="G27" s="441">
        <f t="shared" si="1"/>
        <v>6448.5574253237655</v>
      </c>
      <c r="H27" s="441">
        <f t="shared" si="2"/>
        <v>46314.807839984562</v>
      </c>
      <c r="I27" s="336"/>
      <c r="J27" s="316"/>
      <c r="K27" s="204"/>
      <c r="L27" s="513"/>
      <c r="M27" s="241"/>
      <c r="N27" s="241"/>
    </row>
    <row r="28" spans="1:14" x14ac:dyDescent="0.25">
      <c r="C28" s="567">
        <v>7</v>
      </c>
      <c r="D28" s="568"/>
      <c r="E28" s="569">
        <f>+'FLUJO DE CAJA ECON FINANCI'!I12</f>
        <v>7748.1976666666669</v>
      </c>
      <c r="F28" s="570">
        <f t="shared" si="0"/>
        <v>0.6162700548311445</v>
      </c>
      <c r="G28" s="571">
        <f t="shared" si="1"/>
        <v>4774.9822008792125</v>
      </c>
      <c r="H28" s="571">
        <f t="shared" si="2"/>
        <v>51089.790040863772</v>
      </c>
      <c r="I28" s="336"/>
      <c r="J28" s="316"/>
      <c r="K28" s="204"/>
      <c r="L28" s="513"/>
      <c r="M28" s="241"/>
      <c r="N28" s="241"/>
    </row>
    <row r="29" spans="1:14" x14ac:dyDescent="0.25">
      <c r="C29" s="319">
        <v>8</v>
      </c>
      <c r="D29" s="321"/>
      <c r="E29" s="323">
        <f>+'FLUJO DE CAJA ECON FINANCI'!J12</f>
        <v>9764.6976666666669</v>
      </c>
      <c r="F29" s="322">
        <f>1/POWER(1+$F$17,C29)</f>
        <v>0.57509336956993695</v>
      </c>
      <c r="G29" s="327">
        <f t="shared" si="1"/>
        <v>5615.6128839550347</v>
      </c>
      <c r="H29" s="327">
        <f t="shared" si="2"/>
        <v>56705.402924818809</v>
      </c>
      <c r="I29" s="336"/>
      <c r="J29" s="316"/>
      <c r="K29" s="204"/>
      <c r="L29" s="513"/>
      <c r="M29" s="241"/>
      <c r="N29" s="241"/>
    </row>
    <row r="30" spans="1:14" x14ac:dyDescent="0.25">
      <c r="C30" s="319">
        <v>9</v>
      </c>
      <c r="D30" s="321"/>
      <c r="E30" s="323">
        <f>+'FLUJO DE CAJA ECON FINANCI'!K12</f>
        <v>9764.6976666666669</v>
      </c>
      <c r="F30" s="322">
        <f>1/POWER(1+$F$17,C30)</f>
        <v>0.53666794472745138</v>
      </c>
      <c r="G30" s="327">
        <f t="shared" si="1"/>
        <v>5240.40022765494</v>
      </c>
      <c r="H30" s="327">
        <f t="shared" si="2"/>
        <v>61945.803152473745</v>
      </c>
      <c r="I30" s="241"/>
      <c r="J30" s="316"/>
      <c r="K30" s="204"/>
      <c r="L30" s="513"/>
      <c r="M30" s="241"/>
      <c r="N30" s="241"/>
    </row>
    <row r="31" spans="1:14" x14ac:dyDescent="0.25">
      <c r="C31" s="319">
        <v>10</v>
      </c>
      <c r="D31" s="321"/>
      <c r="E31" s="323">
        <f>+'FLUJO DE CAJA ECON FINANCI'!L12</f>
        <v>9764.6976666666669</v>
      </c>
      <c r="F31" s="322">
        <f t="shared" si="0"/>
        <v>0.50080995215327673</v>
      </c>
      <c r="G31" s="327">
        <f t="shared" si="1"/>
        <v>4890.2577712345465</v>
      </c>
      <c r="H31" s="327">
        <f t="shared" si="2"/>
        <v>66836.060923708297</v>
      </c>
      <c r="I31" s="241"/>
      <c r="J31" s="316"/>
      <c r="K31" s="204"/>
      <c r="L31" s="513"/>
      <c r="M31" s="241"/>
      <c r="N31" s="241"/>
    </row>
    <row r="32" spans="1:14" x14ac:dyDescent="0.25">
      <c r="C32" s="319">
        <v>11</v>
      </c>
      <c r="D32" s="321"/>
      <c r="E32" s="323">
        <f>+'FLUJO DE CAJA ECON FINANCI'!M12</f>
        <v>9764.6976666666669</v>
      </c>
      <c r="F32" s="322">
        <f>1/POWER(1+$F$17,C32)</f>
        <v>0.46734784635430815</v>
      </c>
      <c r="G32" s="327">
        <f t="shared" si="1"/>
        <v>4563.5104248176049</v>
      </c>
      <c r="H32" s="327">
        <f t="shared" si="2"/>
        <v>71399.571348525904</v>
      </c>
      <c r="I32" s="241"/>
      <c r="J32" s="316"/>
      <c r="K32" s="204"/>
      <c r="L32" s="513"/>
      <c r="M32" s="241"/>
      <c r="N32" s="241"/>
    </row>
    <row r="33" spans="2:15" x14ac:dyDescent="0.25">
      <c r="C33" s="596">
        <v>12</v>
      </c>
      <c r="D33" s="597"/>
      <c r="E33" s="598">
        <f>+'FLUJO DE CAJA ECON FINANCI'!N12</f>
        <v>7748.1976666666669</v>
      </c>
      <c r="F33" s="599">
        <f>1/POWER(1+$F$17,C33)</f>
        <v>0.43612154381701018</v>
      </c>
      <c r="G33" s="600">
        <f t="shared" si="1"/>
        <v>3379.1559281860227</v>
      </c>
      <c r="H33" s="600">
        <f t="shared" si="2"/>
        <v>74778.727276711928</v>
      </c>
      <c r="I33" s="241"/>
      <c r="J33" s="316"/>
      <c r="K33" s="204"/>
      <c r="L33" s="513"/>
      <c r="M33" s="241"/>
      <c r="N33" s="241"/>
    </row>
    <row r="34" spans="2:15" x14ac:dyDescent="0.25">
      <c r="C34" s="362" t="s">
        <v>29</v>
      </c>
      <c r="D34" s="643"/>
      <c r="E34" s="644"/>
      <c r="F34" s="644"/>
      <c r="G34" s="645"/>
      <c r="H34" s="363">
        <f>SUM(H22:H33)</f>
        <v>554171.25175670325</v>
      </c>
      <c r="N34" s="241"/>
    </row>
    <row r="35" spans="2:15" x14ac:dyDescent="0.25">
      <c r="C35" s="251"/>
      <c r="D35" s="252"/>
      <c r="E35" s="252"/>
      <c r="F35" s="252"/>
      <c r="G35" s="252"/>
      <c r="H35" s="252"/>
    </row>
    <row r="36" spans="2:15" x14ac:dyDescent="0.25">
      <c r="C36" s="252"/>
      <c r="D36" s="252"/>
      <c r="E36" s="252"/>
      <c r="F36" s="253" t="s">
        <v>219</v>
      </c>
      <c r="G36" s="535">
        <f>H34/C33</f>
        <v>46180.93764639194</v>
      </c>
      <c r="H36" s="328"/>
      <c r="I36" s="336"/>
      <c r="J36" s="241"/>
    </row>
    <row r="37" spans="2:15" x14ac:dyDescent="0.25">
      <c r="C37" s="313"/>
      <c r="D37" s="313"/>
      <c r="E37" s="313"/>
      <c r="F37" s="253"/>
      <c r="G37" s="536"/>
      <c r="H37" s="254"/>
      <c r="I37" s="336"/>
      <c r="J37" s="336"/>
      <c r="M37" s="241"/>
    </row>
    <row r="38" spans="2:15" x14ac:dyDescent="0.25">
      <c r="C38" s="313"/>
      <c r="D38" s="313"/>
    </row>
    <row r="39" spans="2:15" x14ac:dyDescent="0.25">
      <c r="C39" s="406" t="s">
        <v>220</v>
      </c>
      <c r="D39" s="405">
        <f>D21/G36</f>
        <v>0.45011039314884993</v>
      </c>
      <c r="L39" s="366"/>
      <c r="M39" s="366"/>
      <c r="N39" s="366"/>
      <c r="O39" s="366"/>
    </row>
    <row r="40" spans="2:15" x14ac:dyDescent="0.25">
      <c r="C40" s="330"/>
      <c r="D40" s="331"/>
      <c r="E40" s="314"/>
      <c r="F40" s="313"/>
      <c r="G40" s="313"/>
      <c r="H40" s="313"/>
      <c r="L40" s="366"/>
      <c r="M40" s="366"/>
      <c r="N40" s="366"/>
      <c r="O40" s="366"/>
    </row>
    <row r="41" spans="2:15" x14ac:dyDescent="0.25">
      <c r="C41" s="642" t="s">
        <v>368</v>
      </c>
      <c r="D41" s="642"/>
      <c r="E41" s="642"/>
      <c r="F41" s="642"/>
      <c r="G41" s="642"/>
      <c r="H41" s="252"/>
    </row>
    <row r="42" spans="2:15" x14ac:dyDescent="0.25">
      <c r="C42" s="255"/>
    </row>
    <row r="43" spans="2:15" x14ac:dyDescent="0.25">
      <c r="B43" s="255" t="s">
        <v>221</v>
      </c>
      <c r="D43" s="333" t="s">
        <v>105</v>
      </c>
      <c r="E43" s="321"/>
      <c r="F43" s="334" t="s">
        <v>254</v>
      </c>
    </row>
    <row r="44" spans="2:15" x14ac:dyDescent="0.25">
      <c r="B44" s="255" t="s">
        <v>222</v>
      </c>
      <c r="D44" s="436">
        <f>+D39*12</f>
        <v>5.4013247177861992</v>
      </c>
      <c r="E44" s="407">
        <f>+D44-7</f>
        <v>-1.5986752822138008</v>
      </c>
      <c r="F44" s="436">
        <f>+E44*30</f>
        <v>-47.960258466414025</v>
      </c>
      <c r="H44" s="468"/>
    </row>
    <row r="45" spans="2:15" ht="29.25" x14ac:dyDescent="0.25">
      <c r="B45" s="255" t="s">
        <v>223</v>
      </c>
      <c r="H45" s="468"/>
    </row>
    <row r="46" spans="2:15" ht="29.25" x14ac:dyDescent="0.25">
      <c r="B46" s="255" t="s">
        <v>224</v>
      </c>
    </row>
  </sheetData>
  <mergeCells count="4">
    <mergeCell ref="C2:I2"/>
    <mergeCell ref="C41:G41"/>
    <mergeCell ref="D34:G34"/>
    <mergeCell ref="C16:F16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showGridLines="0" workbookViewId="0">
      <pane ySplit="1" topLeftCell="A2" activePane="bottomLeft" state="frozen"/>
      <selection pane="bottomLeft" activeCell="F23" sqref="F23"/>
    </sheetView>
  </sheetViews>
  <sheetFormatPr baseColWidth="10" defaultColWidth="11.42578125" defaultRowHeight="13.5" x14ac:dyDescent="0.25"/>
  <cols>
    <col min="1" max="4" width="11.42578125" style="26"/>
    <col min="5" max="5" width="14" style="26" customWidth="1"/>
    <col min="6" max="6" width="15.42578125" style="26" customWidth="1"/>
    <col min="7" max="7" width="11.42578125" style="26"/>
    <col min="8" max="8" width="16.7109375" style="26" customWidth="1"/>
    <col min="9" max="16384" width="11.42578125" style="26"/>
  </cols>
  <sheetData>
    <row r="1" spans="1:13" ht="15" x14ac:dyDescent="0.3">
      <c r="A1" s="628" t="s">
        <v>167</v>
      </c>
      <c r="B1" s="628"/>
      <c r="C1" s="628"/>
      <c r="D1" s="628"/>
      <c r="E1" s="628"/>
      <c r="F1" s="628"/>
    </row>
    <row r="2" spans="1:13" ht="14.25" x14ac:dyDescent="0.3">
      <c r="A2" s="2"/>
      <c r="B2" s="2"/>
      <c r="C2" s="27"/>
      <c r="D2" s="27"/>
      <c r="E2" s="27"/>
      <c r="F2" s="27"/>
    </row>
    <row r="3" spans="1:13" ht="38.25" x14ac:dyDescent="0.25">
      <c r="A3" s="164" t="s">
        <v>105</v>
      </c>
      <c r="B3" s="164" t="s">
        <v>94</v>
      </c>
      <c r="C3" s="164" t="s">
        <v>95</v>
      </c>
      <c r="D3" s="164">
        <v>1.7999999999999999E-2</v>
      </c>
      <c r="E3" s="164" t="s">
        <v>322</v>
      </c>
      <c r="F3" s="164" t="s">
        <v>106</v>
      </c>
      <c r="K3" s="516"/>
    </row>
    <row r="4" spans="1:13" x14ac:dyDescent="0.25">
      <c r="A4" s="59">
        <v>0</v>
      </c>
      <c r="B4" s="77"/>
      <c r="C4" s="77">
        <f>'FLUJO DE CAJA ECON FINANCI'!B6</f>
        <v>20786.52</v>
      </c>
      <c r="D4" s="60">
        <f>1/(1+$D$3)^A4</f>
        <v>1</v>
      </c>
      <c r="E4" s="77">
        <f>B4*D4</f>
        <v>0</v>
      </c>
      <c r="F4" s="77">
        <f>C4*D4</f>
        <v>20786.52</v>
      </c>
      <c r="J4" s="210"/>
      <c r="K4" s="519"/>
      <c r="M4" s="210"/>
    </row>
    <row r="5" spans="1:13" x14ac:dyDescent="0.25">
      <c r="A5" s="59">
        <v>1</v>
      </c>
      <c r="B5" s="77">
        <f>'FLUJO DE CAJA ECON FINANCI'!C4</f>
        <v>15000</v>
      </c>
      <c r="C5" s="77">
        <f>'FLUJO DE CAJA ECON FINANCI'!C6</f>
        <v>5235.3023333333331</v>
      </c>
      <c r="D5" s="60">
        <f>1/(1+$D$3)^A5</f>
        <v>0.98231827111984282</v>
      </c>
      <c r="E5" s="77">
        <f t="shared" ref="E5:E16" si="0">B5*D5</f>
        <v>14734.774066797643</v>
      </c>
      <c r="F5" s="77">
        <f t="shared" ref="F5:F16" si="1">C5*D5</f>
        <v>5142.7331368696787</v>
      </c>
      <c r="I5" s="210"/>
      <c r="J5" s="210"/>
      <c r="K5" s="519"/>
      <c r="L5" s="210"/>
      <c r="M5" s="210"/>
    </row>
    <row r="6" spans="1:13" x14ac:dyDescent="0.25">
      <c r="A6" s="59">
        <v>2</v>
      </c>
      <c r="B6" s="77">
        <f>'FLUJO DE CAJA ECON FINANCI'!D4</f>
        <v>15000</v>
      </c>
      <c r="C6" s="77">
        <f>'FLUJO DE CAJA ECON FINANCI'!D6</f>
        <v>5235.3023333333331</v>
      </c>
      <c r="D6" s="60">
        <f>1/(1+$D$3)^A6</f>
        <v>0.96494918577587707</v>
      </c>
      <c r="E6" s="77">
        <f t="shared" si="0"/>
        <v>14474.237786638156</v>
      </c>
      <c r="F6" s="77">
        <f t="shared" si="1"/>
        <v>5051.8007238405489</v>
      </c>
      <c r="I6" s="210"/>
      <c r="J6" s="210"/>
      <c r="K6" s="519"/>
      <c r="L6" s="210"/>
      <c r="M6" s="210"/>
    </row>
    <row r="7" spans="1:13" x14ac:dyDescent="0.25">
      <c r="A7" s="59">
        <v>3</v>
      </c>
      <c r="B7" s="77">
        <f>'FLUJO DE CAJA ECON FINANCI'!E4</f>
        <v>15000</v>
      </c>
      <c r="C7" s="77">
        <f>'FLUJO DE CAJA ECON FINANCI'!E6</f>
        <v>5235.3023333333331</v>
      </c>
      <c r="D7" s="60">
        <f t="shared" ref="D7:D16" si="2">1/(1+$D$3)^A7</f>
        <v>0.94788721588985947</v>
      </c>
      <c r="E7" s="77">
        <f t="shared" si="0"/>
        <v>14218.308238347892</v>
      </c>
      <c r="F7" s="77">
        <f t="shared" si="1"/>
        <v>4962.4761530850183</v>
      </c>
      <c r="I7" s="210"/>
      <c r="J7" s="210"/>
      <c r="K7" s="519"/>
      <c r="L7" s="210"/>
      <c r="M7" s="210"/>
    </row>
    <row r="8" spans="1:13" x14ac:dyDescent="0.25">
      <c r="A8" s="59">
        <v>4</v>
      </c>
      <c r="B8" s="77">
        <f>'FLUJO DE CAJA ECON FINANCI'!F4</f>
        <v>15000</v>
      </c>
      <c r="C8" s="77">
        <f>'FLUJO DE CAJA ECON FINANCI'!F6</f>
        <v>5235.3023333333331</v>
      </c>
      <c r="D8" s="60">
        <f t="shared" si="2"/>
        <v>0.93112693112952805</v>
      </c>
      <c r="E8" s="77">
        <f t="shared" si="0"/>
        <v>13966.90396694292</v>
      </c>
      <c r="F8" s="77">
        <f t="shared" si="1"/>
        <v>4874.7309951719235</v>
      </c>
      <c r="I8" s="210"/>
      <c r="J8" s="210"/>
      <c r="K8" s="519"/>
      <c r="L8" s="210"/>
      <c r="M8" s="210"/>
    </row>
    <row r="9" spans="1:13" x14ac:dyDescent="0.25">
      <c r="A9" s="59">
        <v>5</v>
      </c>
      <c r="B9" s="77">
        <f>'FLUJO DE CAJA ECON FINANCI'!G4</f>
        <v>15000</v>
      </c>
      <c r="C9" s="77">
        <f>'FLUJO DE CAJA ECON FINANCI'!G6</f>
        <v>5235.3023333333331</v>
      </c>
      <c r="D9" s="60">
        <f t="shared" si="2"/>
        <v>0.91466299718028288</v>
      </c>
      <c r="E9" s="77">
        <f t="shared" si="0"/>
        <v>13719.944957704243</v>
      </c>
      <c r="F9" s="77">
        <f t="shared" si="1"/>
        <v>4788.5373233515948</v>
      </c>
      <c r="I9" s="210"/>
      <c r="J9" s="210"/>
      <c r="K9" s="519"/>
      <c r="L9" s="210"/>
      <c r="M9" s="210"/>
    </row>
    <row r="10" spans="1:13" x14ac:dyDescent="0.25">
      <c r="A10" s="59">
        <v>6</v>
      </c>
      <c r="B10" s="77">
        <f>'FLUJO DE CAJA ECON FINANCI'!H4</f>
        <v>15000</v>
      </c>
      <c r="C10" s="77">
        <f>'FLUJO DE CAJA ECON FINANCI'!H6</f>
        <v>5235.3023333333331</v>
      </c>
      <c r="D10" s="60">
        <f t="shared" si="2"/>
        <v>0.89849017404742926</v>
      </c>
      <c r="E10" s="77">
        <f t="shared" si="0"/>
        <v>13477.352610711439</v>
      </c>
      <c r="F10" s="77">
        <f t="shared" si="1"/>
        <v>4703.8677046675793</v>
      </c>
      <c r="I10" s="210"/>
      <c r="J10" s="210"/>
      <c r="K10" s="519"/>
      <c r="L10" s="210"/>
      <c r="M10" s="210"/>
    </row>
    <row r="11" spans="1:13" s="610" customFormat="1" x14ac:dyDescent="0.25">
      <c r="A11" s="59">
        <v>7</v>
      </c>
      <c r="B11" s="77">
        <f>'FLUJO DE CAJA ECON FINANCI'!I4</f>
        <v>15000</v>
      </c>
      <c r="C11" s="77">
        <f>'FLUJO DE CAJA ECON FINANCI'!I6</f>
        <v>7251.8023333333331</v>
      </c>
      <c r="D11" s="60">
        <f t="shared" si="2"/>
        <v>0.8826033143884372</v>
      </c>
      <c r="E11" s="77">
        <f t="shared" si="0"/>
        <v>13239.049715826557</v>
      </c>
      <c r="F11" s="77">
        <f t="shared" si="1"/>
        <v>6400.4647746898027</v>
      </c>
      <c r="I11" s="611"/>
      <c r="J11" s="611"/>
      <c r="K11" s="612"/>
      <c r="L11" s="611"/>
      <c r="M11" s="611"/>
    </row>
    <row r="12" spans="1:13" x14ac:dyDescent="0.25">
      <c r="A12" s="59">
        <v>8</v>
      </c>
      <c r="B12" s="77">
        <f>'FLUJO DE CAJA ECON FINANCI'!J4</f>
        <v>15000</v>
      </c>
      <c r="C12" s="77">
        <f>'FLUJO DE CAJA ECON FINANCI'!J6</f>
        <v>5235.3023333333331</v>
      </c>
      <c r="D12" s="60">
        <f t="shared" si="2"/>
        <v>0.86699736187469278</v>
      </c>
      <c r="E12" s="77">
        <f t="shared" si="0"/>
        <v>13004.960428120392</v>
      </c>
      <c r="F12" s="77">
        <f t="shared" si="1"/>
        <v>4538.9933116164229</v>
      </c>
      <c r="I12" s="210"/>
      <c r="J12" s="210"/>
      <c r="K12" s="519"/>
      <c r="L12" s="210"/>
      <c r="M12" s="210"/>
    </row>
    <row r="13" spans="1:13" x14ac:dyDescent="0.25">
      <c r="A13" s="59">
        <v>9</v>
      </c>
      <c r="B13" s="77">
        <f>'FLUJO DE CAJA ECON FINANCI'!K4</f>
        <v>15000</v>
      </c>
      <c r="C13" s="77">
        <f>'FLUJO DE CAJA ECON FINANCI'!K6</f>
        <v>5235.3023333333331</v>
      </c>
      <c r="D13" s="60">
        <f t="shared" si="2"/>
        <v>0.85166734958221302</v>
      </c>
      <c r="E13" s="77">
        <f t="shared" si="0"/>
        <v>12775.010243733195</v>
      </c>
      <c r="F13" s="77">
        <f t="shared" si="1"/>
        <v>4458.7360624915755</v>
      </c>
      <c r="I13" s="210"/>
      <c r="J13" s="210"/>
      <c r="K13" s="519"/>
      <c r="L13" s="210"/>
      <c r="M13" s="210"/>
    </row>
    <row r="14" spans="1:13" x14ac:dyDescent="0.25">
      <c r="A14" s="59">
        <v>10</v>
      </c>
      <c r="B14" s="77">
        <f>'FLUJO DE CAJA ECON FINANCI'!L4</f>
        <v>15000</v>
      </c>
      <c r="C14" s="77">
        <f>'FLUJO DE CAJA ECON FINANCI'!L6</f>
        <v>5235.3023333333331</v>
      </c>
      <c r="D14" s="60">
        <f t="shared" si="2"/>
        <v>0.83660839841081813</v>
      </c>
      <c r="E14" s="77">
        <f t="shared" si="0"/>
        <v>12549.125976162271</v>
      </c>
      <c r="F14" s="77">
        <f t="shared" si="1"/>
        <v>4379.8979002864189</v>
      </c>
      <c r="I14" s="210"/>
      <c r="J14" s="210"/>
      <c r="K14" s="519"/>
      <c r="L14" s="210"/>
      <c r="M14" s="210"/>
    </row>
    <row r="15" spans="1:13" x14ac:dyDescent="0.25">
      <c r="A15" s="59">
        <v>11</v>
      </c>
      <c r="B15" s="77">
        <f>'FLUJO DE CAJA ECON FINANCI'!M4</f>
        <v>15000</v>
      </c>
      <c r="C15" s="77">
        <f>'FLUJO DE CAJA ECON FINANCI'!M6</f>
        <v>5235.3023333333331</v>
      </c>
      <c r="D15" s="60">
        <f t="shared" si="2"/>
        <v>0.82181571553125565</v>
      </c>
      <c r="E15" s="77">
        <f t="shared" si="0"/>
        <v>12327.235732968835</v>
      </c>
      <c r="F15" s="77">
        <f t="shared" si="1"/>
        <v>4302.4537330907851</v>
      </c>
      <c r="I15" s="210"/>
      <c r="J15" s="210"/>
      <c r="K15" s="519"/>
      <c r="L15" s="210"/>
      <c r="M15" s="210"/>
    </row>
    <row r="16" spans="1:13" x14ac:dyDescent="0.25">
      <c r="A16" s="59">
        <v>12</v>
      </c>
      <c r="B16" s="77">
        <f>'FLUJO DE CAJA ECON FINANCI'!N4</f>
        <v>15000</v>
      </c>
      <c r="C16" s="77">
        <f>'FLUJO DE CAJA ECON FINANCI'!N6</f>
        <v>7251.8023333333331</v>
      </c>
      <c r="D16" s="60">
        <f t="shared" si="2"/>
        <v>0.8072845928597796</v>
      </c>
      <c r="E16" s="77">
        <f t="shared" si="0"/>
        <v>12109.268892896695</v>
      </c>
      <c r="F16" s="77">
        <f t="shared" si="1"/>
        <v>5854.2682941645999</v>
      </c>
      <c r="I16" s="210"/>
      <c r="J16" s="210"/>
      <c r="K16" s="519"/>
      <c r="L16" s="210"/>
      <c r="M16" s="210"/>
    </row>
    <row r="17" spans="1:13" ht="14.25" x14ac:dyDescent="0.3">
      <c r="A17" s="61"/>
      <c r="B17" s="61"/>
      <c r="C17" s="61"/>
      <c r="D17" s="61"/>
      <c r="E17" s="165">
        <f>SUM(E4:E16)</f>
        <v>160596.17261685024</v>
      </c>
      <c r="F17" s="165">
        <f>SUM(F4:F16)</f>
        <v>80245.480113325961</v>
      </c>
      <c r="L17" s="210"/>
      <c r="M17" s="210"/>
    </row>
    <row r="18" spans="1:13" ht="16.5" x14ac:dyDescent="0.3">
      <c r="A18" s="27"/>
      <c r="B18" s="27"/>
      <c r="C18" s="27"/>
      <c r="D18" s="27"/>
      <c r="E18" s="132" t="s">
        <v>107</v>
      </c>
      <c r="F18" s="467">
        <f>E17/F17</f>
        <v>2.001311131668098</v>
      </c>
      <c r="G18" s="335"/>
      <c r="H18" s="507">
        <f>E17-F17</f>
        <v>80350.692503524275</v>
      </c>
      <c r="I18" s="335"/>
      <c r="J18" s="335"/>
      <c r="K18" s="335"/>
    </row>
    <row r="19" spans="1:13" ht="15.75" x14ac:dyDescent="0.25">
      <c r="G19" s="335"/>
      <c r="H19" s="335"/>
      <c r="I19" s="335"/>
      <c r="J19" s="335"/>
      <c r="K19" s="335"/>
    </row>
    <row r="21" spans="1:13" x14ac:dyDescent="0.25">
      <c r="F21" s="210"/>
    </row>
    <row r="22" spans="1:13" ht="14.25" x14ac:dyDescent="0.3">
      <c r="F22" s="524" t="s">
        <v>323</v>
      </c>
      <c r="G22" s="525"/>
      <c r="H22" s="518"/>
    </row>
    <row r="23" spans="1:13" x14ac:dyDescent="0.25">
      <c r="A23" s="26">
        <v>0.12</v>
      </c>
      <c r="F23" s="522" t="s">
        <v>387</v>
      </c>
    </row>
    <row r="24" spans="1:13" x14ac:dyDescent="0.25">
      <c r="F24" s="522">
        <f>7.2/2</f>
        <v>3.6</v>
      </c>
      <c r="G24" s="518"/>
      <c r="H24" s="518"/>
    </row>
    <row r="25" spans="1:13" x14ac:dyDescent="0.25">
      <c r="F25" s="523">
        <f>F24/2</f>
        <v>1.8</v>
      </c>
      <c r="G25" s="518"/>
      <c r="H25" s="518"/>
    </row>
    <row r="26" spans="1:13" x14ac:dyDescent="0.25">
      <c r="F26" s="522">
        <f>F25/100</f>
        <v>1.8000000000000002E-2</v>
      </c>
      <c r="G26" s="518"/>
      <c r="H26" s="518"/>
    </row>
  </sheetData>
  <mergeCells count="1">
    <mergeCell ref="A1:F1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3"/>
  <sheetViews>
    <sheetView showGridLines="0" workbookViewId="0">
      <selection activeCell="E19" sqref="E19"/>
    </sheetView>
  </sheetViews>
  <sheetFormatPr baseColWidth="10" defaultColWidth="11.42578125" defaultRowHeight="12.75" x14ac:dyDescent="0.25"/>
  <cols>
    <col min="1" max="1" width="22.28515625" style="27" customWidth="1"/>
    <col min="2" max="2" width="19" style="27" customWidth="1"/>
    <col min="3" max="3" width="19.28515625" style="27" customWidth="1"/>
    <col min="4" max="4" width="11" style="27" bestFit="1" customWidth="1"/>
    <col min="5" max="5" width="12.5703125" style="27" bestFit="1" customWidth="1"/>
    <col min="6" max="6" width="10.5703125" style="27" bestFit="1" customWidth="1"/>
    <col min="7" max="7" width="10.28515625" style="27" customWidth="1"/>
    <col min="8" max="8" width="15.42578125" style="27" customWidth="1"/>
    <col min="9" max="9" width="16.28515625" style="27" customWidth="1"/>
    <col min="10" max="10" width="3.42578125" style="27" customWidth="1"/>
    <col min="11" max="11" width="15.140625" style="27" customWidth="1"/>
    <col min="12" max="12" width="12" style="27" bestFit="1" customWidth="1"/>
    <col min="13" max="16384" width="11.42578125" style="27"/>
  </cols>
  <sheetData>
    <row r="2" spans="1:20" ht="15" x14ac:dyDescent="0.25">
      <c r="A2"/>
      <c r="B2"/>
      <c r="C2" s="626" t="s">
        <v>108</v>
      </c>
      <c r="D2" s="626"/>
      <c r="E2" s="626"/>
      <c r="F2" s="626"/>
      <c r="G2" s="626"/>
      <c r="H2"/>
      <c r="I2"/>
      <c r="J2"/>
      <c r="K2"/>
      <c r="L2"/>
      <c r="M2"/>
      <c r="N2"/>
    </row>
    <row r="3" spans="1:20" ht="15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</row>
    <row r="4" spans="1:20" ht="38.25" x14ac:dyDescent="0.25">
      <c r="A4" s="408" t="s">
        <v>180</v>
      </c>
      <c r="B4" s="408" t="s">
        <v>189</v>
      </c>
      <c r="C4" s="408" t="s">
        <v>181</v>
      </c>
      <c r="D4" s="408" t="s">
        <v>186</v>
      </c>
      <c r="E4" s="408" t="s">
        <v>187</v>
      </c>
      <c r="F4" s="408" t="s">
        <v>182</v>
      </c>
      <c r="G4" s="408" t="s">
        <v>183</v>
      </c>
      <c r="H4"/>
      <c r="I4" s="408" t="s">
        <v>184</v>
      </c>
      <c r="J4" s="409"/>
      <c r="K4" s="408" t="s">
        <v>188</v>
      </c>
      <c r="L4"/>
      <c r="M4"/>
      <c r="N4"/>
    </row>
    <row r="5" spans="1:20" ht="14.45" x14ac:dyDescent="0.3">
      <c r="A5" s="191" t="str">
        <f>+'INVERSION TOTAL'!A48</f>
        <v>Elaboración deL SERVICIO DE LAVADO DEL AUTO</v>
      </c>
      <c r="B5" s="572">
        <v>600</v>
      </c>
      <c r="C5" s="222">
        <f>+B5/$B$7</f>
        <v>1</v>
      </c>
      <c r="D5" s="193">
        <v>25</v>
      </c>
      <c r="E5" s="194">
        <v>4.7</v>
      </c>
      <c r="F5" s="195">
        <f>D5-E5</f>
        <v>20.3</v>
      </c>
      <c r="G5" s="195">
        <f>C5*F5</f>
        <v>20.3</v>
      </c>
      <c r="H5"/>
      <c r="I5" s="549">
        <f>($B$11/$G$7)*C5</f>
        <v>117.67499178981936</v>
      </c>
      <c r="J5" s="196"/>
      <c r="K5" s="183">
        <f>I5*D5</f>
        <v>2941.874794745484</v>
      </c>
      <c r="L5"/>
      <c r="M5"/>
      <c r="N5"/>
    </row>
    <row r="6" spans="1:20" ht="15" x14ac:dyDescent="0.25">
      <c r="A6" s="191"/>
      <c r="B6" s="192">
        <v>0</v>
      </c>
      <c r="C6" s="222">
        <f>+B6/$B$7</f>
        <v>0</v>
      </c>
      <c r="D6" s="193">
        <v>0</v>
      </c>
      <c r="E6" s="194">
        <v>0</v>
      </c>
      <c r="F6" s="195">
        <f>D6-E6</f>
        <v>0</v>
      </c>
      <c r="G6" s="195">
        <f>C6*F6</f>
        <v>0</v>
      </c>
      <c r="H6"/>
      <c r="I6" s="243">
        <f>($B$11/$G$7)*C6</f>
        <v>0</v>
      </c>
      <c r="J6" s="196"/>
      <c r="K6" s="183">
        <f>I6*D6</f>
        <v>0</v>
      </c>
      <c r="L6"/>
      <c r="M6"/>
      <c r="N6"/>
    </row>
    <row r="7" spans="1:20" ht="15" x14ac:dyDescent="0.25">
      <c r="A7"/>
      <c r="B7" s="197">
        <f>SUM(B5:B6)</f>
        <v>600</v>
      </c>
      <c r="C7" s="198">
        <f>+B7/$B$7</f>
        <v>1</v>
      </c>
      <c r="D7"/>
      <c r="E7"/>
      <c r="F7"/>
      <c r="G7" s="199">
        <f>SUM(G5:G6)</f>
        <v>20.3</v>
      </c>
      <c r="H7" s="200"/>
      <c r="I7" s="201">
        <f>SUM(I5:I6)</f>
        <v>117.67499178981936</v>
      </c>
      <c r="J7" s="202"/>
      <c r="K7" s="203">
        <f>SUM(K5:K6)</f>
        <v>2941.874794745484</v>
      </c>
      <c r="L7"/>
      <c r="M7"/>
      <c r="N7"/>
    </row>
    <row r="8" spans="1:20" ht="15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</row>
    <row r="9" spans="1:20" ht="15" x14ac:dyDescent="0.25">
      <c r="A9"/>
      <c r="B9"/>
      <c r="C9"/>
      <c r="D9"/>
      <c r="E9"/>
      <c r="F9"/>
      <c r="G9"/>
      <c r="H9"/>
      <c r="I9"/>
      <c r="J9"/>
      <c r="K9"/>
      <c r="L9" s="204"/>
      <c r="M9"/>
      <c r="N9"/>
    </row>
    <row r="10" spans="1:20" ht="15.75" thickBot="1" x14ac:dyDescent="0.3">
      <c r="A10" s="205" t="s">
        <v>207</v>
      </c>
      <c r="B10" s="206" t="s">
        <v>87</v>
      </c>
      <c r="C10"/>
      <c r="D10"/>
      <c r="E10"/>
      <c r="F10"/>
      <c r="G10"/>
      <c r="H10"/>
      <c r="I10"/>
      <c r="J10"/>
      <c r="K10"/>
      <c r="L10" s="207"/>
      <c r="M10"/>
      <c r="N10"/>
    </row>
    <row r="11" spans="1:20" ht="15.75" thickBot="1" x14ac:dyDescent="0.3">
      <c r="A11" s="208" t="s">
        <v>185</v>
      </c>
      <c r="B11" s="209">
        <f>('PRESUPUESTO DE GASTOS'!B18+'PRESUPUESTO DE GASTOS'!B22+'PRESUPUESTO DE GASTOS'!B13)</f>
        <v>2388.8023333333331</v>
      </c>
      <c r="C11" t="s">
        <v>246</v>
      </c>
      <c r="D11"/>
      <c r="E11" s="382"/>
      <c r="F11"/>
      <c r="G11"/>
      <c r="H11"/>
      <c r="I11"/>
      <c r="J11" s="348"/>
      <c r="K11" s="348"/>
      <c r="L11" s="414"/>
      <c r="M11" s="348"/>
      <c r="N11" s="348"/>
    </row>
    <row r="12" spans="1:20" ht="15" x14ac:dyDescent="0.25">
      <c r="A12"/>
      <c r="B12"/>
      <c r="C12"/>
      <c r="D12"/>
      <c r="E12"/>
      <c r="F12" s="241"/>
      <c r="G12"/>
      <c r="H12" s="241"/>
      <c r="I12"/>
      <c r="J12" s="348"/>
      <c r="K12" s="415"/>
      <c r="L12" s="348"/>
      <c r="M12" s="348"/>
      <c r="N12" s="415"/>
    </row>
    <row r="13" spans="1:20" ht="15.75" x14ac:dyDescent="0.3">
      <c r="A13" s="417" t="s">
        <v>273</v>
      </c>
      <c r="B13" s="417"/>
      <c r="D13"/>
      <c r="E13" s="196"/>
      <c r="F13"/>
      <c r="G13"/>
      <c r="H13" s="241"/>
      <c r="I13"/>
      <c r="J13" s="348"/>
      <c r="K13" s="348"/>
      <c r="L13" s="415"/>
      <c r="M13" s="348"/>
      <c r="N13" s="348"/>
    </row>
    <row r="14" spans="1:20" ht="15" x14ac:dyDescent="0.25">
      <c r="A14"/>
      <c r="B14"/>
      <c r="C14"/>
      <c r="D14"/>
      <c r="E14"/>
      <c r="F14"/>
      <c r="G14"/>
      <c r="H14"/>
      <c r="I14"/>
      <c r="J14" s="348"/>
      <c r="K14" s="348"/>
      <c r="L14" s="348"/>
      <c r="M14" s="348"/>
      <c r="N14" s="348"/>
    </row>
    <row r="15" spans="1:20" x14ac:dyDescent="0.25">
      <c r="J15" s="256"/>
      <c r="K15" s="256"/>
      <c r="L15" s="295"/>
      <c r="M15" s="256"/>
      <c r="N15" s="256"/>
    </row>
    <row r="16" spans="1:20" ht="15" x14ac:dyDescent="0.25">
      <c r="I16" s="307"/>
      <c r="J16" s="416"/>
      <c r="K16" s="416"/>
      <c r="L16" s="416"/>
      <c r="M16" s="416"/>
      <c r="N16" s="416"/>
      <c r="O16" s="52"/>
      <c r="P16" s="52"/>
      <c r="Q16" s="52"/>
      <c r="R16" s="52"/>
      <c r="S16" s="52"/>
      <c r="T16" s="52"/>
    </row>
    <row r="17" spans="6:20" ht="15" x14ac:dyDescent="0.25">
      <c r="F17" s="40"/>
      <c r="I17" s="481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</row>
    <row r="18" spans="6:20" ht="15" x14ac:dyDescent="0.25">
      <c r="F18" s="40"/>
      <c r="G18" s="482"/>
      <c r="H18" s="267"/>
      <c r="I18" s="308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</row>
    <row r="19" spans="6:20" ht="15" x14ac:dyDescent="0.25">
      <c r="F19" s="483"/>
      <c r="I19" s="480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</row>
    <row r="20" spans="6:20" ht="15" x14ac:dyDescent="0.25">
      <c r="I20"/>
    </row>
    <row r="21" spans="6:20" ht="15.75" x14ac:dyDescent="0.25">
      <c r="I21" s="403"/>
    </row>
    <row r="22" spans="6:20" ht="15" x14ac:dyDescent="0.25">
      <c r="I22" s="247"/>
    </row>
    <row r="23" spans="6:20" ht="15.75" x14ac:dyDescent="0.25">
      <c r="I23" s="248"/>
    </row>
  </sheetData>
  <mergeCells count="1">
    <mergeCell ref="C2:G2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1"/>
  <sheetViews>
    <sheetView tabSelected="1" zoomScale="70" zoomScaleNormal="70" workbookViewId="0">
      <selection activeCell="E11" sqref="E11"/>
    </sheetView>
  </sheetViews>
  <sheetFormatPr baseColWidth="10" defaultRowHeight="15" x14ac:dyDescent="0.25"/>
  <cols>
    <col min="1" max="1" width="5.42578125" customWidth="1"/>
    <col min="2" max="2" width="14.7109375" customWidth="1"/>
    <col min="3" max="3" width="17.140625" customWidth="1"/>
    <col min="4" max="4" width="18.7109375" customWidth="1"/>
    <col min="5" max="8" width="14.7109375" customWidth="1"/>
    <col min="10" max="10" width="23.140625" customWidth="1"/>
    <col min="11" max="11" width="19" customWidth="1"/>
    <col min="12" max="12" width="17" customWidth="1"/>
    <col min="13" max="13" width="21.7109375" customWidth="1"/>
    <col min="15" max="16" width="16.28515625" customWidth="1"/>
    <col min="17" max="17" width="15.5703125" customWidth="1"/>
    <col min="18" max="18" width="13.7109375" customWidth="1"/>
    <col min="19" max="19" width="15.5703125" customWidth="1"/>
  </cols>
  <sheetData>
    <row r="2" spans="2:21" ht="20.25" x14ac:dyDescent="0.3">
      <c r="D2" s="364" t="s">
        <v>108</v>
      </c>
      <c r="E2" s="365"/>
      <c r="F2" s="365"/>
    </row>
    <row r="4" spans="2:21" x14ac:dyDescent="0.25">
      <c r="H4" s="225"/>
    </row>
    <row r="5" spans="2:21" x14ac:dyDescent="0.25">
      <c r="C5" t="s">
        <v>197</v>
      </c>
      <c r="E5" s="226">
        <f>'PUNTO DE EQUILIBRIO'!B11</f>
        <v>2388.8023333333331</v>
      </c>
    </row>
    <row r="7" spans="2:21" x14ac:dyDescent="0.25">
      <c r="C7" t="s">
        <v>198</v>
      </c>
      <c r="E7" s="227">
        <v>4.7</v>
      </c>
      <c r="I7" s="430">
        <f>E9-E7</f>
        <v>20.3</v>
      </c>
      <c r="J7" t="s">
        <v>283</v>
      </c>
    </row>
    <row r="8" spans="2:21" x14ac:dyDescent="0.25">
      <c r="I8" s="409" t="s">
        <v>282</v>
      </c>
      <c r="J8" s="429">
        <f>I7+E7</f>
        <v>25</v>
      </c>
      <c r="M8" s="348"/>
      <c r="N8" s="348"/>
      <c r="O8" s="348"/>
    </row>
    <row r="9" spans="2:21" x14ac:dyDescent="0.25">
      <c r="C9" t="s">
        <v>199</v>
      </c>
      <c r="E9" s="367">
        <f>+'PUNTO DE EQUILIBRIO'!D5</f>
        <v>25</v>
      </c>
      <c r="M9" s="348"/>
      <c r="N9" s="415"/>
      <c r="O9" s="348"/>
      <c r="Q9" s="241"/>
      <c r="S9" s="383"/>
      <c r="U9" s="241"/>
    </row>
    <row r="10" spans="2:21" x14ac:dyDescent="0.25">
      <c r="M10" s="348"/>
      <c r="N10" s="348"/>
      <c r="O10" s="348"/>
    </row>
    <row r="11" spans="2:21" x14ac:dyDescent="0.25">
      <c r="C11" t="s">
        <v>200</v>
      </c>
      <c r="E11" s="228">
        <f>E5/(E9-E7)</f>
        <v>117.67499178981936</v>
      </c>
      <c r="F11" s="229" t="s">
        <v>201</v>
      </c>
      <c r="I11" s="336"/>
      <c r="L11" s="336"/>
      <c r="M11" s="348"/>
      <c r="N11" s="348"/>
      <c r="O11" s="348"/>
    </row>
    <row r="12" spans="2:21" x14ac:dyDescent="0.25">
      <c r="E12" s="204"/>
      <c r="F12" s="184"/>
      <c r="M12" s="348"/>
      <c r="N12" s="348"/>
      <c r="O12" s="348"/>
    </row>
    <row r="13" spans="2:21" x14ac:dyDescent="0.25">
      <c r="C13" t="s">
        <v>326</v>
      </c>
      <c r="E13" s="228">
        <f>E11*E9</f>
        <v>2941.874794745484</v>
      </c>
      <c r="F13" s="229" t="s">
        <v>94</v>
      </c>
    </row>
    <row r="15" spans="2:21" ht="30" x14ac:dyDescent="0.25">
      <c r="B15" s="230" t="s">
        <v>201</v>
      </c>
      <c r="C15" s="478" t="s">
        <v>202</v>
      </c>
      <c r="D15" s="478" t="s">
        <v>203</v>
      </c>
      <c r="E15" s="478" t="s">
        <v>204</v>
      </c>
      <c r="F15" s="478" t="s">
        <v>205</v>
      </c>
      <c r="G15" s="478" t="s">
        <v>94</v>
      </c>
      <c r="H15" s="478" t="s">
        <v>206</v>
      </c>
    </row>
    <row r="16" spans="2:21" x14ac:dyDescent="0.25">
      <c r="B16" s="231">
        <v>0</v>
      </c>
      <c r="C16" s="231">
        <f>$E$5</f>
        <v>2388.8023333333331</v>
      </c>
      <c r="D16" s="231">
        <f>B16*$E$7</f>
        <v>0</v>
      </c>
      <c r="E16" s="231">
        <f>C16+D16</f>
        <v>2388.8023333333331</v>
      </c>
      <c r="F16" s="231"/>
      <c r="G16" s="231">
        <f>B16*$E$9</f>
        <v>0</v>
      </c>
      <c r="H16" s="232">
        <f>G16-E16</f>
        <v>-2388.8023333333331</v>
      </c>
      <c r="J16" s="648" t="s">
        <v>277</v>
      </c>
      <c r="K16" s="649"/>
    </row>
    <row r="17" spans="2:17" x14ac:dyDescent="0.25">
      <c r="B17" s="231">
        <f>B26/10</f>
        <v>11.767499178981936</v>
      </c>
      <c r="C17" s="231">
        <f t="shared" ref="C17:C30" si="0">$E$5</f>
        <v>2388.8023333333331</v>
      </c>
      <c r="D17" s="231">
        <f t="shared" ref="D17:D30" si="1">B17*$E$7</f>
        <v>55.307246141215103</v>
      </c>
      <c r="E17" s="231">
        <f t="shared" ref="E17:E30" si="2">C17+D17</f>
        <v>2444.1095794745484</v>
      </c>
      <c r="F17" s="231">
        <f>E17/B17</f>
        <v>207.70000000000002</v>
      </c>
      <c r="G17" s="231">
        <f t="shared" ref="G17:G26" si="3">B17*$E$9</f>
        <v>294.18747947454841</v>
      </c>
      <c r="H17" s="232">
        <f t="shared" ref="H17:H26" si="4">G17-E17</f>
        <v>-2149.9220999999998</v>
      </c>
      <c r="J17" s="211"/>
      <c r="K17" s="211"/>
    </row>
    <row r="18" spans="2:17" ht="15.75" x14ac:dyDescent="0.25">
      <c r="B18" s="231">
        <f>$B$26/10+B17</f>
        <v>23.534998357963872</v>
      </c>
      <c r="C18" s="231">
        <f t="shared" si="0"/>
        <v>2388.8023333333331</v>
      </c>
      <c r="D18" s="231">
        <f t="shared" si="1"/>
        <v>110.61449228243021</v>
      </c>
      <c r="E18" s="231">
        <f t="shared" si="2"/>
        <v>2499.4168256157632</v>
      </c>
      <c r="F18" s="231">
        <f t="shared" ref="F18:F26" si="5">E18/B18</f>
        <v>106.2</v>
      </c>
      <c r="G18" s="231">
        <f t="shared" si="3"/>
        <v>588.37495894909682</v>
      </c>
      <c r="H18" s="232">
        <f t="shared" si="4"/>
        <v>-1911.0418666666665</v>
      </c>
      <c r="J18" s="419"/>
      <c r="K18" s="418"/>
      <c r="M18" s="646" t="s">
        <v>260</v>
      </c>
      <c r="N18" s="646"/>
      <c r="O18" s="646"/>
    </row>
    <row r="19" spans="2:17" ht="15.75" x14ac:dyDescent="0.25">
      <c r="B19" s="231">
        <f t="shared" ref="B19:B30" si="6">$B$26/10+B18</f>
        <v>35.302497536945808</v>
      </c>
      <c r="C19" s="231">
        <f t="shared" si="0"/>
        <v>2388.8023333333331</v>
      </c>
      <c r="D19" s="231">
        <f t="shared" si="1"/>
        <v>165.92173842364531</v>
      </c>
      <c r="E19" s="231">
        <f t="shared" si="2"/>
        <v>2554.7240717569784</v>
      </c>
      <c r="F19" s="231">
        <f t="shared" si="5"/>
        <v>72.366666666666674</v>
      </c>
      <c r="G19" s="231">
        <f t="shared" si="3"/>
        <v>882.56243842364518</v>
      </c>
      <c r="H19" s="232">
        <f t="shared" si="4"/>
        <v>-1672.1616333333332</v>
      </c>
      <c r="J19" s="419" t="s">
        <v>275</v>
      </c>
      <c r="K19" s="526">
        <f>(C26/1000)</f>
        <v>2.388802333333333</v>
      </c>
      <c r="M19" s="543" t="s">
        <v>261</v>
      </c>
      <c r="N19" s="544"/>
      <c r="O19" s="544" t="s">
        <v>300</v>
      </c>
    </row>
    <row r="20" spans="2:17" ht="15.75" x14ac:dyDescent="0.25">
      <c r="B20" s="231">
        <f t="shared" si="6"/>
        <v>47.069996715927743</v>
      </c>
      <c r="C20" s="231">
        <f t="shared" si="0"/>
        <v>2388.8023333333331</v>
      </c>
      <c r="D20" s="231">
        <f t="shared" si="1"/>
        <v>221.22898456486041</v>
      </c>
      <c r="E20" s="231">
        <f t="shared" si="2"/>
        <v>2610.0313178981933</v>
      </c>
      <c r="F20" s="231">
        <f t="shared" si="5"/>
        <v>55.449999999999996</v>
      </c>
      <c r="G20" s="231">
        <f t="shared" si="3"/>
        <v>1176.7499178981936</v>
      </c>
      <c r="H20" s="232">
        <f t="shared" si="4"/>
        <v>-1433.2813999999996</v>
      </c>
      <c r="J20" s="419" t="s">
        <v>278</v>
      </c>
      <c r="K20" s="527">
        <f>K19+E7</f>
        <v>7.0888023333333336</v>
      </c>
      <c r="M20" s="545">
        <f>E5</f>
        <v>2388.8023333333331</v>
      </c>
      <c r="N20" s="544" t="s">
        <v>263</v>
      </c>
      <c r="O20" s="545">
        <f>E9-E7</f>
        <v>20.3</v>
      </c>
    </row>
    <row r="21" spans="2:17" ht="15.75" x14ac:dyDescent="0.25">
      <c r="B21" s="231">
        <f t="shared" si="6"/>
        <v>58.837495894909679</v>
      </c>
      <c r="C21" s="231">
        <f t="shared" si="0"/>
        <v>2388.8023333333331</v>
      </c>
      <c r="D21" s="231">
        <f t="shared" si="1"/>
        <v>276.53623070607551</v>
      </c>
      <c r="E21" s="231">
        <f t="shared" si="2"/>
        <v>2665.3385640394085</v>
      </c>
      <c r="F21" s="231">
        <f t="shared" si="5"/>
        <v>45.300000000000004</v>
      </c>
      <c r="G21" s="231">
        <f t="shared" si="3"/>
        <v>1470.937397372742</v>
      </c>
      <c r="H21" s="232">
        <f t="shared" si="4"/>
        <v>-1194.4011666666665</v>
      </c>
      <c r="J21" s="419" t="s">
        <v>274</v>
      </c>
      <c r="K21" s="526">
        <f>D26+C26</f>
        <v>2941.874794745484</v>
      </c>
      <c r="M21" s="647" t="s">
        <v>262</v>
      </c>
      <c r="N21" s="647"/>
      <c r="O21" s="546">
        <f>M20/O20</f>
        <v>117.67499178981936</v>
      </c>
    </row>
    <row r="22" spans="2:17" ht="18.75" x14ac:dyDescent="0.25">
      <c r="B22" s="231">
        <f t="shared" si="6"/>
        <v>70.604995073891615</v>
      </c>
      <c r="C22" s="231">
        <f t="shared" si="0"/>
        <v>2388.8023333333331</v>
      </c>
      <c r="D22" s="231">
        <f t="shared" si="1"/>
        <v>331.84347684729062</v>
      </c>
      <c r="E22" s="231">
        <f t="shared" si="2"/>
        <v>2720.6458101806238</v>
      </c>
      <c r="F22" s="231">
        <f t="shared" si="5"/>
        <v>38.533333333333339</v>
      </c>
      <c r="G22" s="231">
        <f t="shared" si="3"/>
        <v>1765.1248768472904</v>
      </c>
      <c r="H22" s="232">
        <f t="shared" si="4"/>
        <v>-955.52093333333346</v>
      </c>
      <c r="J22" s="420" t="s">
        <v>309</v>
      </c>
      <c r="K22" s="539">
        <f>E5/(E9-E7)</f>
        <v>117.67499178981936</v>
      </c>
      <c r="L22" s="537">
        <f>K22*14</f>
        <v>1647.449885057471</v>
      </c>
      <c r="M22" s="547"/>
      <c r="N22" s="547"/>
      <c r="O22" s="548">
        <f>O21/20</f>
        <v>5.8837495894909679</v>
      </c>
    </row>
    <row r="23" spans="2:17" ht="18.75" x14ac:dyDescent="0.3">
      <c r="B23" s="231">
        <f t="shared" si="6"/>
        <v>82.372494252873551</v>
      </c>
      <c r="C23" s="231">
        <f t="shared" si="0"/>
        <v>2388.8023333333331</v>
      </c>
      <c r="D23" s="231">
        <f t="shared" si="1"/>
        <v>387.15072298850572</v>
      </c>
      <c r="E23" s="231">
        <f t="shared" si="2"/>
        <v>2775.9530563218386</v>
      </c>
      <c r="F23" s="231">
        <f t="shared" si="5"/>
        <v>33.700000000000003</v>
      </c>
      <c r="G23" s="231">
        <f t="shared" si="3"/>
        <v>2059.3123563218387</v>
      </c>
      <c r="H23" s="232">
        <f t="shared" si="4"/>
        <v>-716.64069999999992</v>
      </c>
      <c r="J23" s="426" t="s">
        <v>308</v>
      </c>
      <c r="K23" s="540">
        <f>K22/20</f>
        <v>5.8837495894909679</v>
      </c>
      <c r="L23" s="538">
        <f>K23*14</f>
        <v>82.372494252873551</v>
      </c>
    </row>
    <row r="24" spans="2:17" ht="18.75" x14ac:dyDescent="0.3">
      <c r="B24" s="231">
        <f t="shared" si="6"/>
        <v>94.139993431855487</v>
      </c>
      <c r="C24" s="231">
        <f t="shared" si="0"/>
        <v>2388.8023333333331</v>
      </c>
      <c r="D24" s="231">
        <f t="shared" si="1"/>
        <v>442.45796912972082</v>
      </c>
      <c r="E24" s="231">
        <f t="shared" si="2"/>
        <v>2831.2603024630539</v>
      </c>
      <c r="F24" s="231">
        <f t="shared" si="5"/>
        <v>30.075000000000003</v>
      </c>
      <c r="G24" s="231">
        <f t="shared" si="3"/>
        <v>2353.4998357963873</v>
      </c>
      <c r="H24" s="232">
        <f t="shared" si="4"/>
        <v>-477.76046666666662</v>
      </c>
      <c r="J24" s="419" t="s">
        <v>301</v>
      </c>
      <c r="K24" s="527">
        <f>B26*E7</f>
        <v>553.07246141215103</v>
      </c>
      <c r="M24" s="474">
        <f>E7*50</f>
        <v>235</v>
      </c>
      <c r="N24" s="475" t="s">
        <v>288</v>
      </c>
    </row>
    <row r="25" spans="2:17" ht="15.75" x14ac:dyDescent="0.25">
      <c r="B25" s="233">
        <f t="shared" si="6"/>
        <v>105.90749261083742</v>
      </c>
      <c r="C25" s="233">
        <f t="shared" si="0"/>
        <v>2388.8023333333331</v>
      </c>
      <c r="D25" s="233">
        <f t="shared" si="1"/>
        <v>497.76521527093593</v>
      </c>
      <c r="E25" s="233">
        <f t="shared" si="2"/>
        <v>2886.5675486042692</v>
      </c>
      <c r="F25" s="233">
        <f t="shared" si="5"/>
        <v>27.25555555555556</v>
      </c>
      <c r="G25" s="233">
        <f t="shared" si="3"/>
        <v>2647.6873152709354</v>
      </c>
      <c r="H25" s="234">
        <f t="shared" si="4"/>
        <v>-238.88023333333376</v>
      </c>
      <c r="J25" s="419"/>
      <c r="K25" s="527"/>
      <c r="N25" s="336"/>
    </row>
    <row r="26" spans="2:17" s="366" customFormat="1" ht="15.75" x14ac:dyDescent="0.25">
      <c r="B26" s="601">
        <f>E11</f>
        <v>117.67499178981936</v>
      </c>
      <c r="C26" s="602">
        <f t="shared" si="0"/>
        <v>2388.8023333333331</v>
      </c>
      <c r="D26" s="602">
        <f>B26*$E$7</f>
        <v>553.07246141215103</v>
      </c>
      <c r="E26" s="602">
        <f t="shared" si="2"/>
        <v>2941.874794745484</v>
      </c>
      <c r="F26" s="602">
        <f t="shared" si="5"/>
        <v>25</v>
      </c>
      <c r="G26" s="602">
        <f t="shared" si="3"/>
        <v>2941.874794745484</v>
      </c>
      <c r="H26" s="603">
        <f t="shared" si="4"/>
        <v>0</v>
      </c>
      <c r="J26" s="213" t="s">
        <v>286</v>
      </c>
      <c r="K26" s="528">
        <f>E9-E7</f>
        <v>20.3</v>
      </c>
      <c r="Q26" s="479"/>
    </row>
    <row r="27" spans="2:17" x14ac:dyDescent="0.25">
      <c r="B27" s="235">
        <f t="shared" si="6"/>
        <v>129.44249096880128</v>
      </c>
      <c r="C27" s="235">
        <f t="shared" si="0"/>
        <v>2388.8023333333331</v>
      </c>
      <c r="D27" s="235">
        <f t="shared" si="1"/>
        <v>608.37970755336607</v>
      </c>
      <c r="E27" s="235">
        <f t="shared" si="2"/>
        <v>2997.1820408866993</v>
      </c>
      <c r="F27" s="235">
        <f>E27/B27</f>
        <v>23.15454545454546</v>
      </c>
      <c r="G27" s="235">
        <f>B27*$E$9</f>
        <v>3236.0622742200321</v>
      </c>
      <c r="H27" s="236">
        <f>G27-E27</f>
        <v>238.88023333333285</v>
      </c>
      <c r="J27" s="211" t="s">
        <v>287</v>
      </c>
      <c r="K27" s="529">
        <f>K26+E7</f>
        <v>25</v>
      </c>
      <c r="O27" s="336"/>
    </row>
    <row r="28" spans="2:17" x14ac:dyDescent="0.25">
      <c r="B28" s="231">
        <f t="shared" si="6"/>
        <v>141.20999014778323</v>
      </c>
      <c r="C28" s="231">
        <f t="shared" si="0"/>
        <v>2388.8023333333331</v>
      </c>
      <c r="D28" s="231">
        <f t="shared" si="1"/>
        <v>663.68695369458123</v>
      </c>
      <c r="E28" s="231">
        <f t="shared" si="2"/>
        <v>3052.4892870279145</v>
      </c>
      <c r="F28" s="231">
        <f>E28/B28</f>
        <v>21.616666666666671</v>
      </c>
      <c r="G28" s="231">
        <f>B28*$E$9</f>
        <v>3530.2497536945807</v>
      </c>
      <c r="H28" s="237">
        <f>G28-E28</f>
        <v>477.76046666666616</v>
      </c>
      <c r="J28" s="211" t="s">
        <v>302</v>
      </c>
      <c r="K28" s="529">
        <f>K19*1000</f>
        <v>2388.8023333333331</v>
      </c>
    </row>
    <row r="29" spans="2:17" x14ac:dyDescent="0.25">
      <c r="B29" s="231">
        <f t="shared" si="6"/>
        <v>152.97748932676518</v>
      </c>
      <c r="C29" s="231">
        <f t="shared" si="0"/>
        <v>2388.8023333333331</v>
      </c>
      <c r="D29" s="231">
        <f t="shared" si="1"/>
        <v>718.99419983579639</v>
      </c>
      <c r="E29" s="231">
        <f t="shared" si="2"/>
        <v>3107.7965331691294</v>
      </c>
      <c r="F29" s="231">
        <f>E29/B29</f>
        <v>20.315384615384612</v>
      </c>
      <c r="G29" s="231">
        <f>B29*$E$9</f>
        <v>3824.4372331691293</v>
      </c>
      <c r="H29" s="237">
        <f>G29-E29</f>
        <v>716.64069999999992</v>
      </c>
      <c r="N29" s="434"/>
    </row>
    <row r="30" spans="2:17" x14ac:dyDescent="0.25">
      <c r="B30" s="231">
        <f t="shared" si="6"/>
        <v>164.74498850574713</v>
      </c>
      <c r="C30" s="231">
        <f t="shared" si="0"/>
        <v>2388.8023333333331</v>
      </c>
      <c r="D30" s="231">
        <f t="shared" si="1"/>
        <v>774.30144597701155</v>
      </c>
      <c r="E30" s="231">
        <f t="shared" si="2"/>
        <v>3163.1037793103446</v>
      </c>
      <c r="F30" s="231">
        <f>E30/B30</f>
        <v>19.2</v>
      </c>
      <c r="G30" s="231">
        <f>B30*$E$9</f>
        <v>4118.6247126436783</v>
      </c>
      <c r="H30" s="237">
        <f>G30-E30</f>
        <v>955.52093333333369</v>
      </c>
      <c r="J30" s="366"/>
      <c r="K30" s="366"/>
      <c r="L30" s="366"/>
      <c r="M30" s="366"/>
      <c r="N30" s="366"/>
      <c r="O30" s="366"/>
    </row>
    <row r="31" spans="2:17" ht="18.75" x14ac:dyDescent="0.3">
      <c r="J31" s="509">
        <f>K23*E7</f>
        <v>27.653623070607551</v>
      </c>
      <c r="K31" s="470" t="s">
        <v>285</v>
      </c>
      <c r="L31" s="470"/>
      <c r="M31" s="470"/>
      <c r="N31" s="431"/>
      <c r="O31" s="432"/>
    </row>
    <row r="32" spans="2:17" ht="15.75" x14ac:dyDescent="0.25">
      <c r="J32" s="471">
        <f>K20*K23</f>
        <v>41.708737818732615</v>
      </c>
      <c r="K32" s="470" t="s">
        <v>307</v>
      </c>
      <c r="L32" s="472"/>
      <c r="M32" s="470"/>
      <c r="N32" s="432"/>
      <c r="O32" s="431"/>
    </row>
    <row r="33" spans="10:18" ht="15.75" x14ac:dyDescent="0.25">
      <c r="J33" s="473">
        <f>K20*50</f>
        <v>354.44011666666665</v>
      </c>
      <c r="K33" t="s">
        <v>306</v>
      </c>
      <c r="L33" s="366"/>
      <c r="M33" s="366"/>
      <c r="N33" s="431"/>
      <c r="O33" s="432"/>
    </row>
    <row r="34" spans="10:18" ht="15.75" x14ac:dyDescent="0.25">
      <c r="J34" s="366"/>
      <c r="K34" s="366"/>
      <c r="L34" s="366"/>
      <c r="M34" s="366"/>
      <c r="N34" s="431"/>
      <c r="O34" s="433"/>
    </row>
    <row r="35" spans="10:18" x14ac:dyDescent="0.25">
      <c r="J35" s="366"/>
      <c r="K35" s="366"/>
    </row>
    <row r="36" spans="10:18" x14ac:dyDescent="0.25">
      <c r="J36" s="348"/>
      <c r="K36" s="648" t="s">
        <v>185</v>
      </c>
      <c r="L36" s="651"/>
      <c r="M36" s="649"/>
      <c r="N36" s="533"/>
      <c r="O36" s="650" t="s">
        <v>299</v>
      </c>
      <c r="P36" s="650"/>
      <c r="Q36" s="650"/>
      <c r="R36" s="650"/>
    </row>
    <row r="37" spans="10:18" x14ac:dyDescent="0.25">
      <c r="J37" s="348"/>
      <c r="K37" s="211"/>
      <c r="L37" s="532"/>
      <c r="M37" s="211"/>
      <c r="N37" s="427"/>
      <c r="O37" s="502" t="s">
        <v>296</v>
      </c>
      <c r="P37" s="503">
        <f>E7*50</f>
        <v>235</v>
      </c>
      <c r="Q37" s="530" t="s">
        <v>246</v>
      </c>
      <c r="R37" s="531">
        <f>P37*20</f>
        <v>4700</v>
      </c>
    </row>
    <row r="38" spans="10:18" x14ac:dyDescent="0.25">
      <c r="J38" s="348"/>
      <c r="K38" s="211" t="s">
        <v>279</v>
      </c>
      <c r="L38" s="534">
        <f>E5/1000</f>
        <v>2.388802333333333</v>
      </c>
      <c r="M38" s="211"/>
      <c r="N38" s="427"/>
      <c r="O38" s="504" t="s">
        <v>10</v>
      </c>
      <c r="P38" s="505">
        <v>50</v>
      </c>
      <c r="Q38" s="530" t="s">
        <v>201</v>
      </c>
      <c r="R38" s="389">
        <v>1000</v>
      </c>
    </row>
    <row r="39" spans="10:18" x14ac:dyDescent="0.25">
      <c r="J39" s="348"/>
      <c r="K39" s="211" t="s">
        <v>280</v>
      </c>
      <c r="L39" s="534">
        <f>L38*50</f>
        <v>119.44011666666665</v>
      </c>
      <c r="M39" s="211"/>
      <c r="N39" s="427"/>
      <c r="O39" s="484" t="s">
        <v>297</v>
      </c>
      <c r="P39" s="485">
        <f>P37/P38</f>
        <v>4.7</v>
      </c>
      <c r="Q39" s="530" t="s">
        <v>298</v>
      </c>
      <c r="R39" s="531">
        <f>R37/R38</f>
        <v>4.7</v>
      </c>
    </row>
    <row r="40" spans="10:18" x14ac:dyDescent="0.25">
      <c r="J40" s="348"/>
      <c r="K40" s="211" t="s">
        <v>281</v>
      </c>
      <c r="L40" s="534">
        <f>L39*20</f>
        <v>2388.8023333333331</v>
      </c>
      <c r="M40" s="211"/>
      <c r="N40" s="427"/>
      <c r="O40" s="427"/>
      <c r="P40" s="427"/>
    </row>
    <row r="41" spans="10:18" x14ac:dyDescent="0.25">
      <c r="J41" s="348"/>
      <c r="K41" s="348"/>
      <c r="L41" s="348"/>
      <c r="M41" s="348"/>
      <c r="N41" s="427"/>
      <c r="O41" s="427"/>
      <c r="P41" s="427"/>
    </row>
    <row r="43" spans="10:18" x14ac:dyDescent="0.25">
      <c r="O43" s="336"/>
    </row>
    <row r="46" spans="10:18" x14ac:dyDescent="0.25">
      <c r="M46" s="434"/>
      <c r="N46" s="486"/>
    </row>
    <row r="56" spans="4:8" x14ac:dyDescent="0.25">
      <c r="D56" s="428"/>
      <c r="E56" s="428"/>
      <c r="F56" s="427"/>
      <c r="G56" s="427"/>
      <c r="H56" s="427"/>
    </row>
    <row r="57" spans="4:8" x14ac:dyDescent="0.25">
      <c r="D57" s="348"/>
      <c r="E57" s="348"/>
      <c r="F57" s="348"/>
      <c r="G57" s="348"/>
      <c r="H57" s="348"/>
    </row>
    <row r="58" spans="4:8" x14ac:dyDescent="0.25">
      <c r="D58" s="348"/>
      <c r="E58" s="348"/>
      <c r="F58" s="348"/>
      <c r="G58" s="348"/>
      <c r="H58" s="348"/>
    </row>
    <row r="59" spans="4:8" x14ac:dyDescent="0.25">
      <c r="D59" s="348"/>
      <c r="E59" s="348"/>
      <c r="F59" s="348"/>
      <c r="G59" s="348"/>
      <c r="H59" s="348"/>
    </row>
    <row r="60" spans="4:8" x14ac:dyDescent="0.25">
      <c r="D60" s="348"/>
      <c r="E60" s="348"/>
      <c r="F60" s="348"/>
      <c r="G60" s="348"/>
      <c r="H60" s="348"/>
    </row>
    <row r="61" spans="4:8" x14ac:dyDescent="0.25">
      <c r="D61" s="348"/>
      <c r="E61" s="348"/>
      <c r="F61" s="348"/>
      <c r="G61" s="348"/>
      <c r="H61" s="348"/>
    </row>
  </sheetData>
  <mergeCells count="5">
    <mergeCell ref="M18:O18"/>
    <mergeCell ref="M21:N21"/>
    <mergeCell ref="J16:K16"/>
    <mergeCell ref="O36:R36"/>
    <mergeCell ref="K36:M36"/>
  </mergeCells>
  <pageMargins left="0.7" right="0.7" top="0.75" bottom="0.75" header="0.3" footer="0.3"/>
  <pageSetup orientation="portrait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5:E50"/>
  <sheetViews>
    <sheetView topLeftCell="A19" workbookViewId="0">
      <selection activeCell="G25" sqref="G25"/>
    </sheetView>
  </sheetViews>
  <sheetFormatPr baseColWidth="10" defaultRowHeight="15" x14ac:dyDescent="0.25"/>
  <cols>
    <col min="3" max="3" width="19.7109375" customWidth="1"/>
  </cols>
  <sheetData>
    <row r="25" spans="2:5" x14ac:dyDescent="0.25">
      <c r="C25" t="s">
        <v>370</v>
      </c>
      <c r="D25" s="226">
        <v>2388.8000000000002</v>
      </c>
    </row>
    <row r="26" spans="2:5" x14ac:dyDescent="0.25">
      <c r="C26" t="s">
        <v>371</v>
      </c>
      <c r="D26">
        <v>25</v>
      </c>
    </row>
    <row r="27" spans="2:5" x14ac:dyDescent="0.25">
      <c r="C27" t="s">
        <v>372</v>
      </c>
      <c r="D27">
        <v>4.7</v>
      </c>
    </row>
    <row r="28" spans="2:5" x14ac:dyDescent="0.25">
      <c r="C28" t="s">
        <v>373</v>
      </c>
      <c r="D28">
        <f>D25/(D26-D27)</f>
        <v>117.67487684729065</v>
      </c>
    </row>
    <row r="29" spans="2:5" x14ac:dyDescent="0.25">
      <c r="C29" t="s">
        <v>374</v>
      </c>
    </row>
    <row r="32" spans="2:5" x14ac:dyDescent="0.25">
      <c r="B32" s="592" t="s">
        <v>201</v>
      </c>
      <c r="C32" s="593" t="s">
        <v>380</v>
      </c>
      <c r="D32" s="595" t="s">
        <v>95</v>
      </c>
      <c r="E32" s="594" t="s">
        <v>381</v>
      </c>
    </row>
    <row r="33" spans="2:5" x14ac:dyDescent="0.25">
      <c r="B33">
        <v>20</v>
      </c>
      <c r="C33">
        <f>D26*B33</f>
        <v>500</v>
      </c>
      <c r="D33" s="336">
        <f>D25+(B33*D27)</f>
        <v>2482.8000000000002</v>
      </c>
      <c r="E33" s="336">
        <f t="shared" ref="E33:E43" si="0">C33-D33</f>
        <v>-1982.8000000000002</v>
      </c>
    </row>
    <row r="34" spans="2:5" x14ac:dyDescent="0.25">
      <c r="B34">
        <v>40</v>
      </c>
      <c r="C34">
        <f>B34*D26</f>
        <v>1000</v>
      </c>
      <c r="D34" s="336">
        <f>D25+(D27*B34)</f>
        <v>2576.8000000000002</v>
      </c>
      <c r="E34" s="336">
        <f t="shared" si="0"/>
        <v>-1576.8000000000002</v>
      </c>
    </row>
    <row r="35" spans="2:5" x14ac:dyDescent="0.25">
      <c r="B35">
        <v>60</v>
      </c>
      <c r="C35">
        <f>B35*D26</f>
        <v>1500</v>
      </c>
      <c r="D35" s="336">
        <f>D25+(B35*D27)</f>
        <v>2670.8</v>
      </c>
      <c r="E35" s="336">
        <f t="shared" si="0"/>
        <v>-1170.8000000000002</v>
      </c>
    </row>
    <row r="36" spans="2:5" x14ac:dyDescent="0.25">
      <c r="B36">
        <v>80</v>
      </c>
      <c r="C36">
        <f>B36*D26</f>
        <v>2000</v>
      </c>
      <c r="D36" s="336">
        <f>D25+(B36*D27)</f>
        <v>2764.8</v>
      </c>
      <c r="E36" s="336">
        <f t="shared" si="0"/>
        <v>-764.80000000000018</v>
      </c>
    </row>
    <row r="37" spans="2:5" x14ac:dyDescent="0.25">
      <c r="B37">
        <v>85</v>
      </c>
      <c r="C37">
        <f>D26*B37</f>
        <v>2125</v>
      </c>
      <c r="D37" s="336">
        <f>D25+(D27*B37)</f>
        <v>2788.3</v>
      </c>
      <c r="E37" s="336">
        <f t="shared" si="0"/>
        <v>-663.30000000000018</v>
      </c>
    </row>
    <row r="38" spans="2:5" x14ac:dyDescent="0.25">
      <c r="B38">
        <v>90</v>
      </c>
      <c r="C38">
        <f>D26*B38</f>
        <v>2250</v>
      </c>
      <c r="D38" s="336">
        <f>D25+(D27*B38)</f>
        <v>2811.8</v>
      </c>
      <c r="E38" s="336">
        <f t="shared" si="0"/>
        <v>-561.80000000000018</v>
      </c>
    </row>
    <row r="39" spans="2:5" x14ac:dyDescent="0.25">
      <c r="B39">
        <v>100</v>
      </c>
      <c r="C39">
        <f>B39*D26</f>
        <v>2500</v>
      </c>
      <c r="D39" s="336">
        <f>D25+(B39*D27)</f>
        <v>2858.8</v>
      </c>
      <c r="E39" s="336">
        <f t="shared" si="0"/>
        <v>-358.80000000000018</v>
      </c>
    </row>
    <row r="40" spans="2:5" x14ac:dyDescent="0.25">
      <c r="B40">
        <v>118</v>
      </c>
      <c r="C40">
        <f>B40*D26</f>
        <v>2950</v>
      </c>
      <c r="D40" s="336">
        <f>D25+(D27*B40)</f>
        <v>2943.4</v>
      </c>
      <c r="E40" s="336">
        <f t="shared" si="0"/>
        <v>6.5999999999999091</v>
      </c>
    </row>
    <row r="41" spans="2:5" x14ac:dyDescent="0.25">
      <c r="B41">
        <v>250</v>
      </c>
      <c r="C41">
        <f>D26*B41</f>
        <v>6250</v>
      </c>
      <c r="D41" s="336">
        <f>D25+(B41*D27)</f>
        <v>3563.8</v>
      </c>
      <c r="E41" s="336">
        <f t="shared" si="0"/>
        <v>2686.2</v>
      </c>
    </row>
    <row r="42" spans="2:5" x14ac:dyDescent="0.25">
      <c r="B42">
        <v>750</v>
      </c>
      <c r="C42">
        <f>D26*B42</f>
        <v>18750</v>
      </c>
      <c r="D42" s="336">
        <f>D25+(B42*D27)</f>
        <v>5913.8</v>
      </c>
      <c r="E42" s="336">
        <f t="shared" si="0"/>
        <v>12836.2</v>
      </c>
    </row>
    <row r="43" spans="2:5" x14ac:dyDescent="0.25">
      <c r="B43">
        <v>1000</v>
      </c>
      <c r="C43">
        <f>B43*D26</f>
        <v>25000</v>
      </c>
      <c r="D43" s="336">
        <f>D25+(D27*B43)</f>
        <v>7088.8</v>
      </c>
      <c r="E43" s="336">
        <f t="shared" si="0"/>
        <v>17911.2</v>
      </c>
    </row>
    <row r="44" spans="2:5" x14ac:dyDescent="0.25">
      <c r="D44" s="336"/>
    </row>
    <row r="45" spans="2:5" x14ac:dyDescent="0.25">
      <c r="D45" s="336"/>
    </row>
    <row r="46" spans="2:5" x14ac:dyDescent="0.25">
      <c r="D46" s="336"/>
    </row>
    <row r="47" spans="2:5" x14ac:dyDescent="0.25">
      <c r="D47" s="336"/>
    </row>
    <row r="48" spans="2:5" x14ac:dyDescent="0.25">
      <c r="D48" s="336"/>
    </row>
    <row r="49" spans="4:4" x14ac:dyDescent="0.25">
      <c r="D49" s="336"/>
    </row>
    <row r="50" spans="4:4" x14ac:dyDescent="0.25">
      <c r="D50" s="33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1"/>
  <sheetViews>
    <sheetView showGridLines="0" zoomScale="85" zoomScaleNormal="85" workbookViewId="0">
      <pane ySplit="1" topLeftCell="A47" activePane="bottomLeft" state="frozen"/>
      <selection pane="bottomLeft" activeCell="E56" sqref="E56"/>
    </sheetView>
  </sheetViews>
  <sheetFormatPr baseColWidth="10" defaultColWidth="11.42578125" defaultRowHeight="13.5" x14ac:dyDescent="0.25"/>
  <cols>
    <col min="1" max="1" width="50.85546875" style="4" customWidth="1"/>
    <col min="2" max="2" width="15.85546875" style="12" customWidth="1"/>
    <col min="3" max="3" width="13.42578125" style="4" customWidth="1"/>
    <col min="4" max="4" width="10" style="4" customWidth="1"/>
    <col min="5" max="5" width="15.28515625" style="4" bestFit="1" customWidth="1"/>
    <col min="6" max="6" width="0" style="4" hidden="1" customWidth="1"/>
    <col min="7" max="7" width="21.85546875" style="4" customWidth="1"/>
    <col min="8" max="8" width="11.85546875" style="4" bestFit="1" customWidth="1"/>
    <col min="9" max="16384" width="11.42578125" style="4"/>
  </cols>
  <sheetData>
    <row r="1" spans="1:6" ht="15" x14ac:dyDescent="0.25">
      <c r="A1" s="614" t="s">
        <v>22</v>
      </c>
      <c r="B1" s="614"/>
      <c r="C1" s="614"/>
      <c r="D1" s="614"/>
      <c r="E1" s="614"/>
    </row>
    <row r="2" spans="1:6" x14ac:dyDescent="0.25">
      <c r="A2" s="15"/>
      <c r="B2" s="16"/>
      <c r="C2" s="15"/>
      <c r="D2" s="15"/>
      <c r="E2" s="15"/>
      <c r="F2" s="3"/>
    </row>
    <row r="3" spans="1:6" s="6" customFormat="1" ht="13.5" customHeight="1" x14ac:dyDescent="0.25">
      <c r="A3" s="615" t="s">
        <v>0</v>
      </c>
      <c r="B3" s="615" t="s">
        <v>1</v>
      </c>
      <c r="C3" s="615" t="s">
        <v>12</v>
      </c>
      <c r="D3" s="615" t="s">
        <v>11</v>
      </c>
      <c r="E3" s="615" t="s">
        <v>2</v>
      </c>
      <c r="F3" s="5"/>
    </row>
    <row r="4" spans="1:6" s="6" customFormat="1" x14ac:dyDescent="0.25">
      <c r="A4" s="616"/>
      <c r="B4" s="616"/>
      <c r="C4" s="616"/>
      <c r="D4" s="616"/>
      <c r="E4" s="616"/>
      <c r="F4" s="5"/>
    </row>
    <row r="5" spans="1:6" ht="21.75" customHeight="1" x14ac:dyDescent="0.3">
      <c r="A5" s="442" t="s">
        <v>3</v>
      </c>
      <c r="B5" s="443"/>
      <c r="C5" s="444"/>
      <c r="D5" s="444"/>
      <c r="E5" s="494"/>
    </row>
    <row r="6" spans="1:6" ht="31.5" customHeight="1" x14ac:dyDescent="0.3">
      <c r="A6" s="442" t="s">
        <v>31</v>
      </c>
      <c r="B6" s="443"/>
      <c r="C6" s="444"/>
      <c r="D6" s="444"/>
      <c r="E6" s="495"/>
    </row>
    <row r="7" spans="1:6" ht="15" x14ac:dyDescent="0.3">
      <c r="A7" s="118" t="s">
        <v>173</v>
      </c>
      <c r="B7" s="92"/>
      <c r="C7" s="93"/>
      <c r="D7" s="93"/>
      <c r="E7" s="94">
        <f>SUM(E8:E16)</f>
        <v>15450.52</v>
      </c>
    </row>
    <row r="8" spans="1:6" ht="15" x14ac:dyDescent="0.25">
      <c r="A8" s="573" t="s">
        <v>327</v>
      </c>
      <c r="B8" s="574">
        <v>5180.67</v>
      </c>
      <c r="C8" s="106">
        <v>2</v>
      </c>
      <c r="D8" s="106" t="s">
        <v>4</v>
      </c>
      <c r="E8" s="18">
        <f t="shared" ref="E8:E15" si="0">B8*C8</f>
        <v>10361.34</v>
      </c>
    </row>
    <row r="9" spans="1:6" ht="14.45" customHeight="1" x14ac:dyDescent="0.25">
      <c r="A9" s="573" t="s">
        <v>328</v>
      </c>
      <c r="B9" s="574">
        <v>59.18</v>
      </c>
      <c r="C9" s="106">
        <v>1</v>
      </c>
      <c r="D9" s="106" t="s">
        <v>4</v>
      </c>
      <c r="E9" s="18">
        <f t="shared" si="0"/>
        <v>59.18</v>
      </c>
    </row>
    <row r="10" spans="1:6" ht="14.45" customHeight="1" x14ac:dyDescent="0.25">
      <c r="A10" s="573" t="s">
        <v>329</v>
      </c>
      <c r="B10" s="574">
        <v>1410</v>
      </c>
      <c r="C10" s="106">
        <v>1</v>
      </c>
      <c r="D10" s="106" t="s">
        <v>4</v>
      </c>
      <c r="E10" s="18">
        <f t="shared" si="0"/>
        <v>1410</v>
      </c>
    </row>
    <row r="11" spans="1:6" ht="14.45" customHeight="1" x14ac:dyDescent="0.25">
      <c r="A11" s="573" t="s">
        <v>332</v>
      </c>
      <c r="B11" s="574">
        <v>1300</v>
      </c>
      <c r="C11" s="106">
        <v>1</v>
      </c>
      <c r="D11" s="106" t="s">
        <v>4</v>
      </c>
      <c r="E11" s="18">
        <f t="shared" si="0"/>
        <v>1300</v>
      </c>
    </row>
    <row r="12" spans="1:6" ht="14.45" customHeight="1" x14ac:dyDescent="0.25">
      <c r="A12" s="573" t="s">
        <v>330</v>
      </c>
      <c r="B12" s="574">
        <v>320</v>
      </c>
      <c r="C12" s="106">
        <v>1</v>
      </c>
      <c r="D12" s="106" t="s">
        <v>4</v>
      </c>
      <c r="E12" s="18">
        <f t="shared" si="0"/>
        <v>320</v>
      </c>
    </row>
    <row r="13" spans="1:6" ht="14.45" customHeight="1" x14ac:dyDescent="0.25">
      <c r="A13" s="573" t="s">
        <v>346</v>
      </c>
      <c r="B13" s="574">
        <v>925</v>
      </c>
      <c r="C13" s="106">
        <v>1</v>
      </c>
      <c r="D13" s="106" t="s">
        <v>4</v>
      </c>
      <c r="E13" s="18">
        <f t="shared" si="0"/>
        <v>925</v>
      </c>
    </row>
    <row r="14" spans="1:6" ht="14.45" customHeight="1" x14ac:dyDescent="0.25">
      <c r="A14" s="573" t="s">
        <v>347</v>
      </c>
      <c r="B14" s="574">
        <v>75</v>
      </c>
      <c r="C14" s="106">
        <v>5</v>
      </c>
      <c r="D14" s="106" t="s">
        <v>4</v>
      </c>
      <c r="E14" s="18">
        <f t="shared" si="0"/>
        <v>375</v>
      </c>
    </row>
    <row r="15" spans="1:6" ht="14.45" customHeight="1" x14ac:dyDescent="0.25">
      <c r="A15" s="573" t="s">
        <v>348</v>
      </c>
      <c r="B15" s="574">
        <v>580</v>
      </c>
      <c r="C15" s="106">
        <v>1</v>
      </c>
      <c r="D15" s="106"/>
      <c r="E15" s="18">
        <f t="shared" si="0"/>
        <v>580</v>
      </c>
    </row>
    <row r="16" spans="1:6" ht="14.45" customHeight="1" x14ac:dyDescent="0.25">
      <c r="A16" s="573" t="s">
        <v>342</v>
      </c>
      <c r="B16" s="574">
        <v>60</v>
      </c>
      <c r="C16" s="106">
        <v>2</v>
      </c>
      <c r="D16" s="106" t="s">
        <v>4</v>
      </c>
      <c r="E16" s="18">
        <f t="shared" ref="E16" si="1">B16*C16</f>
        <v>120</v>
      </c>
    </row>
    <row r="17" spans="1:5" ht="15" x14ac:dyDescent="0.3">
      <c r="A17" s="118" t="s">
        <v>5</v>
      </c>
      <c r="B17" s="541"/>
      <c r="C17" s="93"/>
      <c r="D17" s="93"/>
      <c r="E17" s="94">
        <f>SUM(E18:E22)</f>
        <v>1160</v>
      </c>
    </row>
    <row r="18" spans="1:5" ht="14.45" customHeight="1" x14ac:dyDescent="0.25">
      <c r="A18" s="558" t="s">
        <v>343</v>
      </c>
      <c r="B18" s="574">
        <v>40</v>
      </c>
      <c r="C18" s="575">
        <v>6</v>
      </c>
      <c r="D18" s="106" t="s">
        <v>4</v>
      </c>
      <c r="E18" s="18">
        <f>B18*C18</f>
        <v>240</v>
      </c>
    </row>
    <row r="19" spans="1:5" ht="14.45" customHeight="1" x14ac:dyDescent="0.25">
      <c r="A19" s="558" t="s">
        <v>344</v>
      </c>
      <c r="B19" s="574">
        <v>50</v>
      </c>
      <c r="C19" s="575">
        <v>3</v>
      </c>
      <c r="D19" s="106" t="s">
        <v>4</v>
      </c>
      <c r="E19" s="18">
        <f>B19*C19</f>
        <v>150</v>
      </c>
    </row>
    <row r="20" spans="1:5" ht="14.45" customHeight="1" x14ac:dyDescent="0.25">
      <c r="A20" s="558" t="s">
        <v>345</v>
      </c>
      <c r="B20" s="574">
        <v>140</v>
      </c>
      <c r="C20" s="575">
        <v>1</v>
      </c>
      <c r="D20" s="106" t="s">
        <v>4</v>
      </c>
      <c r="E20" s="18">
        <f>B20*C20</f>
        <v>140</v>
      </c>
    </row>
    <row r="21" spans="1:5" ht="14.45" customHeight="1" x14ac:dyDescent="0.25">
      <c r="A21" s="558" t="s">
        <v>331</v>
      </c>
      <c r="B21" s="574">
        <v>200</v>
      </c>
      <c r="C21" s="575">
        <v>2</v>
      </c>
      <c r="D21" s="106" t="s">
        <v>4</v>
      </c>
      <c r="E21" s="18">
        <f>B21*C21</f>
        <v>400</v>
      </c>
    </row>
    <row r="22" spans="1:5" ht="14.45" customHeight="1" x14ac:dyDescent="0.25">
      <c r="A22" s="558" t="s">
        <v>237</v>
      </c>
      <c r="B22" s="574">
        <v>230</v>
      </c>
      <c r="C22" s="575">
        <v>1</v>
      </c>
      <c r="D22" s="106" t="s">
        <v>4</v>
      </c>
      <c r="E22" s="18">
        <f>B22*C22</f>
        <v>230</v>
      </c>
    </row>
    <row r="23" spans="1:5" ht="15" x14ac:dyDescent="0.3">
      <c r="A23" s="117" t="s">
        <v>190</v>
      </c>
      <c r="B23" s="92"/>
      <c r="C23" s="93"/>
      <c r="D23" s="93"/>
      <c r="E23" s="94">
        <f>SUM(E24:E31)</f>
        <v>281</v>
      </c>
    </row>
    <row r="24" spans="1:5" ht="14.45" customHeight="1" x14ac:dyDescent="0.25">
      <c r="A24" s="211" t="s">
        <v>333</v>
      </c>
      <c r="B24" s="542">
        <v>6</v>
      </c>
      <c r="C24" s="8">
        <v>6</v>
      </c>
      <c r="D24" s="8" t="s">
        <v>4</v>
      </c>
      <c r="E24" s="18">
        <f t="shared" ref="E24:E30" si="2">B24*C24</f>
        <v>36</v>
      </c>
    </row>
    <row r="25" spans="1:5" ht="14.45" customHeight="1" x14ac:dyDescent="0.25">
      <c r="A25" s="211" t="s">
        <v>334</v>
      </c>
      <c r="B25" s="542">
        <v>40</v>
      </c>
      <c r="C25" s="8">
        <v>1</v>
      </c>
      <c r="D25" s="8" t="s">
        <v>243</v>
      </c>
      <c r="E25" s="18">
        <f t="shared" si="2"/>
        <v>40</v>
      </c>
    </row>
    <row r="26" spans="1:5" ht="15" x14ac:dyDescent="0.25">
      <c r="A26" s="211" t="s">
        <v>238</v>
      </c>
      <c r="B26" s="542">
        <v>0.5</v>
      </c>
      <c r="C26" s="8">
        <v>50</v>
      </c>
      <c r="D26" s="8" t="s">
        <v>4</v>
      </c>
      <c r="E26" s="18">
        <f t="shared" si="2"/>
        <v>25</v>
      </c>
    </row>
    <row r="27" spans="1:5" ht="15" x14ac:dyDescent="0.25">
      <c r="A27" s="211" t="s">
        <v>239</v>
      </c>
      <c r="B27" s="542">
        <v>10</v>
      </c>
      <c r="C27" s="8">
        <v>2</v>
      </c>
      <c r="D27" s="8" t="s">
        <v>4</v>
      </c>
      <c r="E27" s="18">
        <f t="shared" si="2"/>
        <v>20</v>
      </c>
    </row>
    <row r="28" spans="1:5" ht="15" x14ac:dyDescent="0.25">
      <c r="A28" s="211" t="s">
        <v>240</v>
      </c>
      <c r="B28" s="542">
        <v>0.4</v>
      </c>
      <c r="C28" s="8">
        <v>50</v>
      </c>
      <c r="D28" s="8" t="s">
        <v>4</v>
      </c>
      <c r="E28" s="18">
        <f t="shared" si="2"/>
        <v>20</v>
      </c>
    </row>
    <row r="29" spans="1:5" ht="15" x14ac:dyDescent="0.25">
      <c r="A29" s="211" t="s">
        <v>241</v>
      </c>
      <c r="B29" s="542">
        <v>60</v>
      </c>
      <c r="C29" s="8">
        <v>1</v>
      </c>
      <c r="D29" s="8" t="s">
        <v>4</v>
      </c>
      <c r="E29" s="18">
        <f t="shared" si="2"/>
        <v>60</v>
      </c>
    </row>
    <row r="30" spans="1:5" ht="15" x14ac:dyDescent="0.25">
      <c r="A30" s="211" t="s">
        <v>242</v>
      </c>
      <c r="B30" s="542">
        <v>20</v>
      </c>
      <c r="C30" s="8">
        <v>1</v>
      </c>
      <c r="D30" s="8" t="s">
        <v>4</v>
      </c>
      <c r="E30" s="18">
        <f t="shared" si="2"/>
        <v>20</v>
      </c>
    </row>
    <row r="31" spans="1:5" ht="18" customHeight="1" x14ac:dyDescent="0.25">
      <c r="A31" s="211" t="s">
        <v>292</v>
      </c>
      <c r="B31" s="542">
        <v>60</v>
      </c>
      <c r="C31" s="8">
        <v>1</v>
      </c>
      <c r="D31" s="8" t="s">
        <v>4</v>
      </c>
      <c r="E31" s="18">
        <f>B31*C31</f>
        <v>60</v>
      </c>
    </row>
    <row r="32" spans="1:5" ht="22.5" customHeight="1" x14ac:dyDescent="0.3">
      <c r="A32" s="96" t="s">
        <v>32</v>
      </c>
      <c r="B32" s="97"/>
      <c r="C32" s="98"/>
      <c r="D32" s="98"/>
      <c r="E32" s="99">
        <f>E17+E23+E7</f>
        <v>16891.52</v>
      </c>
    </row>
    <row r="33" spans="1:9" ht="30" customHeight="1" x14ac:dyDescent="0.3">
      <c r="A33" s="100"/>
      <c r="B33" s="101"/>
      <c r="C33" s="102"/>
      <c r="D33" s="102"/>
      <c r="E33" s="103"/>
    </row>
    <row r="34" spans="1:9" x14ac:dyDescent="0.25">
      <c r="A34" s="445" t="s">
        <v>33</v>
      </c>
      <c r="B34" s="446"/>
      <c r="C34" s="447"/>
      <c r="D34" s="447"/>
      <c r="E34" s="448"/>
    </row>
    <row r="35" spans="1:9" x14ac:dyDescent="0.25">
      <c r="A35" s="576" t="s">
        <v>13</v>
      </c>
      <c r="B35" s="574">
        <v>150</v>
      </c>
      <c r="C35" s="106">
        <v>1</v>
      </c>
      <c r="D35" s="106" t="s">
        <v>19</v>
      </c>
      <c r="E35" s="18">
        <f>B35*C35</f>
        <v>150</v>
      </c>
    </row>
    <row r="36" spans="1:9" x14ac:dyDescent="0.25">
      <c r="A36" s="577" t="s">
        <v>14</v>
      </c>
      <c r="B36" s="578">
        <v>0</v>
      </c>
      <c r="C36" s="579">
        <v>1</v>
      </c>
      <c r="D36" s="106" t="s">
        <v>19</v>
      </c>
      <c r="E36" s="18">
        <f t="shared" ref="E36:E41" si="3">B36*C36</f>
        <v>0</v>
      </c>
    </row>
    <row r="37" spans="1:9" x14ac:dyDescent="0.25">
      <c r="A37" s="577" t="s">
        <v>15</v>
      </c>
      <c r="B37" s="578">
        <v>200</v>
      </c>
      <c r="C37" s="579">
        <v>1</v>
      </c>
      <c r="D37" s="106" t="s">
        <v>19</v>
      </c>
      <c r="E37" s="18">
        <f t="shared" si="3"/>
        <v>200</v>
      </c>
    </row>
    <row r="38" spans="1:9" x14ac:dyDescent="0.25">
      <c r="A38" s="577" t="s">
        <v>16</v>
      </c>
      <c r="B38" s="578">
        <v>130</v>
      </c>
      <c r="C38" s="579">
        <v>1</v>
      </c>
      <c r="D38" s="106" t="s">
        <v>19</v>
      </c>
      <c r="E38" s="18">
        <f t="shared" si="3"/>
        <v>130</v>
      </c>
    </row>
    <row r="39" spans="1:9" x14ac:dyDescent="0.25">
      <c r="A39" s="577" t="s">
        <v>17</v>
      </c>
      <c r="B39" s="578">
        <v>175</v>
      </c>
      <c r="C39" s="579">
        <v>1</v>
      </c>
      <c r="D39" s="106" t="s">
        <v>19</v>
      </c>
      <c r="E39" s="18">
        <f t="shared" si="3"/>
        <v>175</v>
      </c>
    </row>
    <row r="40" spans="1:9" x14ac:dyDescent="0.25">
      <c r="A40" s="577" t="s">
        <v>349</v>
      </c>
      <c r="B40" s="578">
        <v>100</v>
      </c>
      <c r="C40" s="579"/>
      <c r="D40" s="106"/>
      <c r="E40" s="18"/>
    </row>
    <row r="41" spans="1:9" x14ac:dyDescent="0.25">
      <c r="A41" s="577" t="s">
        <v>18</v>
      </c>
      <c r="B41" s="578">
        <v>100</v>
      </c>
      <c r="C41" s="579">
        <v>1</v>
      </c>
      <c r="D41" s="106" t="s">
        <v>19</v>
      </c>
      <c r="E41" s="18">
        <f t="shared" si="3"/>
        <v>100</v>
      </c>
      <c r="G41" s="12"/>
    </row>
    <row r="42" spans="1:9" x14ac:dyDescent="0.25">
      <c r="A42" s="577" t="s">
        <v>244</v>
      </c>
      <c r="B42" s="578">
        <v>320</v>
      </c>
      <c r="C42" s="579">
        <v>1</v>
      </c>
      <c r="D42" s="579" t="s">
        <v>243</v>
      </c>
      <c r="E42" s="20">
        <f>B42*C42</f>
        <v>320</v>
      </c>
      <c r="G42" s="12"/>
    </row>
    <row r="43" spans="1:9" x14ac:dyDescent="0.25">
      <c r="A43" s="9"/>
      <c r="B43" s="19"/>
      <c r="C43" s="10"/>
      <c r="D43" s="10"/>
      <c r="E43" s="20"/>
    </row>
    <row r="44" spans="1:9" ht="21.75" customHeight="1" x14ac:dyDescent="0.3">
      <c r="A44" s="108" t="s">
        <v>34</v>
      </c>
      <c r="B44" s="109"/>
      <c r="C44" s="110"/>
      <c r="D44" s="110"/>
      <c r="E44" s="111">
        <f>SUM(E35:E43)</f>
        <v>1075</v>
      </c>
      <c r="G44" s="489"/>
    </row>
    <row r="45" spans="1:9" ht="15" x14ac:dyDescent="0.3">
      <c r="A45" s="449" t="s">
        <v>36</v>
      </c>
      <c r="B45" s="450"/>
      <c r="C45" s="451"/>
      <c r="D45" s="451"/>
      <c r="E45" s="452">
        <f>E44+E32</f>
        <v>17966.52</v>
      </c>
      <c r="G45" s="488"/>
      <c r="H45" s="488"/>
      <c r="I45" s="488"/>
    </row>
    <row r="46" spans="1:9" ht="15" customHeight="1" x14ac:dyDescent="0.3">
      <c r="A46" s="104"/>
      <c r="B46" s="105"/>
      <c r="C46" s="106"/>
      <c r="D46" s="106"/>
      <c r="E46" s="107"/>
      <c r="G46" s="488"/>
      <c r="H46" s="488"/>
      <c r="I46" s="488"/>
    </row>
    <row r="47" spans="1:9" x14ac:dyDescent="0.25">
      <c r="A47" s="166" t="s">
        <v>35</v>
      </c>
      <c r="B47" s="167"/>
      <c r="C47" s="168"/>
      <c r="D47" s="168"/>
      <c r="E47" s="169"/>
      <c r="G47" s="488"/>
      <c r="H47" s="488"/>
      <c r="I47" s="488"/>
    </row>
    <row r="48" spans="1:9" ht="15.75" x14ac:dyDescent="0.3">
      <c r="A48" s="116" t="s">
        <v>384</v>
      </c>
      <c r="B48" s="112"/>
      <c r="C48" s="113" t="s">
        <v>383</v>
      </c>
      <c r="D48" s="114"/>
      <c r="E48" s="115">
        <f>SUM(E49:E53)</f>
        <v>2820</v>
      </c>
      <c r="G48" s="496"/>
      <c r="H48" s="497"/>
      <c r="I48" s="498"/>
    </row>
    <row r="49" spans="1:12" ht="14.25" customHeight="1" x14ac:dyDescent="0.3">
      <c r="A49" s="240" t="s">
        <v>378</v>
      </c>
      <c r="B49" s="580">
        <v>2</v>
      </c>
      <c r="C49" s="579">
        <v>600</v>
      </c>
      <c r="D49" s="106" t="s">
        <v>4</v>
      </c>
      <c r="E49" s="17">
        <f t="shared" ref="E49:E53" si="4">B49*C49</f>
        <v>1200</v>
      </c>
      <c r="G49" s="496"/>
      <c r="H49" s="497"/>
      <c r="I49" s="498"/>
    </row>
    <row r="50" spans="1:12" ht="15.75" customHeight="1" x14ac:dyDescent="0.3">
      <c r="A50" s="240" t="s">
        <v>377</v>
      </c>
      <c r="B50" s="580">
        <v>0.2</v>
      </c>
      <c r="C50" s="579">
        <v>600</v>
      </c>
      <c r="D50" s="106" t="s">
        <v>335</v>
      </c>
      <c r="E50" s="17">
        <f t="shared" si="4"/>
        <v>120</v>
      </c>
      <c r="G50" s="496"/>
      <c r="H50" s="497"/>
      <c r="I50" s="498"/>
    </row>
    <row r="51" spans="1:12" ht="15.75" customHeight="1" x14ac:dyDescent="0.3">
      <c r="A51" s="240" t="s">
        <v>376</v>
      </c>
      <c r="B51" s="580">
        <v>1</v>
      </c>
      <c r="C51" s="579">
        <v>600</v>
      </c>
      <c r="D51" s="106" t="s">
        <v>335</v>
      </c>
      <c r="E51" s="17">
        <f t="shared" si="4"/>
        <v>600</v>
      </c>
      <c r="G51" s="496"/>
      <c r="H51" s="497"/>
      <c r="I51" s="498"/>
    </row>
    <row r="52" spans="1:12" ht="15.75" customHeight="1" x14ac:dyDescent="0.3">
      <c r="A52" s="240" t="s">
        <v>165</v>
      </c>
      <c r="B52" s="580">
        <v>1</v>
      </c>
      <c r="C52" s="579">
        <v>600</v>
      </c>
      <c r="D52" s="106" t="s">
        <v>4</v>
      </c>
      <c r="E52" s="17">
        <f>B52*C52</f>
        <v>600</v>
      </c>
      <c r="G52" s="496"/>
      <c r="H52" s="497"/>
      <c r="I52" s="498"/>
    </row>
    <row r="53" spans="1:12" ht="15.75" customHeight="1" x14ac:dyDescent="0.3">
      <c r="A53" s="240" t="s">
        <v>379</v>
      </c>
      <c r="B53" s="580">
        <v>0.5</v>
      </c>
      <c r="C53" s="579">
        <v>600</v>
      </c>
      <c r="D53" s="106" t="s">
        <v>335</v>
      </c>
      <c r="E53" s="17">
        <f t="shared" si="4"/>
        <v>300</v>
      </c>
      <c r="G53" s="496"/>
      <c r="H53" s="497"/>
      <c r="I53" s="498"/>
    </row>
    <row r="54" spans="1:12" ht="15.75" x14ac:dyDescent="0.3">
      <c r="A54" s="421" t="s">
        <v>248</v>
      </c>
      <c r="B54" s="422">
        <f>SUM(B49:B53)</f>
        <v>4.7</v>
      </c>
      <c r="C54" s="423"/>
      <c r="D54" s="424"/>
      <c r="E54" s="425"/>
      <c r="G54" s="274"/>
      <c r="H54" s="497"/>
      <c r="I54" s="498"/>
    </row>
    <row r="55" spans="1:12" ht="16.5" x14ac:dyDescent="0.3">
      <c r="A55" s="147" t="s">
        <v>20</v>
      </c>
      <c r="B55" s="238"/>
      <c r="C55" s="147"/>
      <c r="D55" s="147"/>
      <c r="E55" s="303">
        <f>+E48+E54</f>
        <v>2820</v>
      </c>
      <c r="G55" s="400"/>
      <c r="H55" s="275"/>
      <c r="I55" s="275"/>
    </row>
    <row r="56" spans="1:12" ht="16.5" x14ac:dyDescent="0.3">
      <c r="A56" s="453" t="s">
        <v>9</v>
      </c>
      <c r="B56" s="454"/>
      <c r="C56" s="455"/>
      <c r="D56" s="455"/>
      <c r="E56" s="452">
        <f>E55+E45</f>
        <v>20786.52</v>
      </c>
      <c r="G56" s="284"/>
      <c r="H56" s="401"/>
      <c r="I56" s="401"/>
    </row>
    <row r="57" spans="1:12" ht="14.25" customHeight="1" x14ac:dyDescent="0.25">
      <c r="A57" s="296" t="s">
        <v>21</v>
      </c>
      <c r="L57" s="489">
        <f>+L54+1</f>
        <v>1</v>
      </c>
    </row>
    <row r="58" spans="1:12" ht="18.75" x14ac:dyDescent="0.3">
      <c r="A58" s="337"/>
      <c r="B58" s="337"/>
      <c r="C58" s="338"/>
      <c r="G58" s="490"/>
    </row>
    <row r="59" spans="1:12" ht="24.75" customHeight="1" x14ac:dyDescent="0.25">
      <c r="A59" s="13"/>
      <c r="C59" s="14"/>
      <c r="D59" s="14"/>
      <c r="E59" s="14"/>
      <c r="G59" s="489"/>
      <c r="H59" s="284"/>
    </row>
    <row r="60" spans="1:12" x14ac:dyDescent="0.25">
      <c r="A60" s="11"/>
      <c r="H60" s="284"/>
    </row>
    <row r="61" spans="1:12" ht="15" customHeight="1" x14ac:dyDescent="0.25">
      <c r="A61" s="11"/>
      <c r="B61" s="492"/>
      <c r="C61" s="493"/>
      <c r="D61" s="411"/>
      <c r="H61" s="284"/>
    </row>
    <row r="62" spans="1:12" x14ac:dyDescent="0.25">
      <c r="A62" s="11"/>
      <c r="B62" s="492"/>
      <c r="C62" s="493"/>
      <c r="D62" s="411"/>
      <c r="H62" s="284"/>
    </row>
    <row r="63" spans="1:12" x14ac:dyDescent="0.25">
      <c r="A63" s="11"/>
      <c r="B63" s="492"/>
      <c r="C63" s="493"/>
      <c r="D63" s="411"/>
    </row>
    <row r="64" spans="1:12" x14ac:dyDescent="0.25">
      <c r="B64" s="492"/>
      <c r="C64" s="493"/>
    </row>
    <row r="65" spans="1:3" x14ac:dyDescent="0.25">
      <c r="B65" s="492">
        <v>2</v>
      </c>
      <c r="C65" s="493">
        <f>A70*B65</f>
        <v>500</v>
      </c>
    </row>
    <row r="66" spans="1:3" x14ac:dyDescent="0.25">
      <c r="A66" s="491">
        <v>3.5</v>
      </c>
      <c r="B66" s="492"/>
      <c r="C66" s="493">
        <f>SUM(C61:C65)</f>
        <v>500</v>
      </c>
    </row>
    <row r="67" spans="1:3" x14ac:dyDescent="0.25">
      <c r="A67" s="491">
        <v>12</v>
      </c>
    </row>
    <row r="68" spans="1:3" x14ac:dyDescent="0.25">
      <c r="A68" s="491">
        <v>2.2999999999999998</v>
      </c>
    </row>
    <row r="69" spans="1:3" x14ac:dyDescent="0.25">
      <c r="A69" s="491">
        <v>0.5</v>
      </c>
    </row>
    <row r="70" spans="1:3" x14ac:dyDescent="0.25">
      <c r="A70" s="491">
        <v>250</v>
      </c>
    </row>
    <row r="71" spans="1:3" x14ac:dyDescent="0.25">
      <c r="A71" s="487"/>
    </row>
  </sheetData>
  <mergeCells count="6">
    <mergeCell ref="A1:E1"/>
    <mergeCell ref="A3:A4"/>
    <mergeCell ref="B3:B4"/>
    <mergeCell ref="C3:C4"/>
    <mergeCell ref="D3:D4"/>
    <mergeCell ref="E3:E4"/>
  </mergeCells>
  <pageMargins left="0.38" right="0.49" top="0.43" bottom="0.75" header="0.3" footer="0.3"/>
  <pageSetup orientation="portrait" r:id="rId1"/>
  <ignoredErrors>
    <ignoredError sqref="E17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showGridLines="0" workbookViewId="0">
      <selection activeCell="C12" sqref="C12"/>
    </sheetView>
  </sheetViews>
  <sheetFormatPr baseColWidth="10" defaultColWidth="11.42578125" defaultRowHeight="13.5" x14ac:dyDescent="0.25"/>
  <cols>
    <col min="1" max="1" width="19.85546875" style="26" customWidth="1"/>
    <col min="2" max="2" width="12.7109375" style="26" customWidth="1"/>
    <col min="3" max="3" width="16.42578125" style="26" customWidth="1"/>
    <col min="4" max="4" width="13.85546875" style="26" customWidth="1"/>
    <col min="5" max="6" width="11.42578125" style="26"/>
    <col min="7" max="7" width="11.5703125" style="26" customWidth="1"/>
    <col min="8" max="8" width="15" style="26" customWidth="1"/>
    <col min="9" max="16384" width="11.42578125" style="26"/>
  </cols>
  <sheetData>
    <row r="1" spans="1:10" ht="14.25" x14ac:dyDescent="0.3">
      <c r="A1" s="617" t="s">
        <v>23</v>
      </c>
      <c r="B1" s="617"/>
      <c r="C1" s="617"/>
      <c r="D1" s="617"/>
      <c r="E1" s="617"/>
    </row>
    <row r="3" spans="1:10" ht="14.25" x14ac:dyDescent="0.3">
      <c r="A3" s="619" t="s">
        <v>24</v>
      </c>
      <c r="B3" s="618" t="s">
        <v>25</v>
      </c>
      <c r="C3" s="618"/>
      <c r="D3" s="618"/>
      <c r="E3" s="618"/>
    </row>
    <row r="4" spans="1:10" ht="28.5" x14ac:dyDescent="0.25">
      <c r="A4" s="619"/>
      <c r="B4" s="119" t="s">
        <v>37</v>
      </c>
      <c r="C4" s="119" t="s">
        <v>30</v>
      </c>
      <c r="D4" s="119" t="s">
        <v>29</v>
      </c>
      <c r="E4" s="119" t="s">
        <v>26</v>
      </c>
    </row>
    <row r="5" spans="1:10" x14ac:dyDescent="0.25">
      <c r="A5" s="23" t="s">
        <v>27</v>
      </c>
      <c r="B5" s="38">
        <v>14848.52</v>
      </c>
      <c r="C5" s="38">
        <f>+'INVERSION TOTAL'!E55*C11</f>
        <v>2820</v>
      </c>
      <c r="D5" s="38">
        <f>SUM(B5:C5)</f>
        <v>17668.52</v>
      </c>
      <c r="E5" s="39">
        <v>0.8</v>
      </c>
    </row>
    <row r="6" spans="1:10" x14ac:dyDescent="0.25">
      <c r="A6" s="23" t="s">
        <v>28</v>
      </c>
      <c r="B6" s="38">
        <v>3118</v>
      </c>
      <c r="C6" s="38">
        <f>+C7-C5</f>
        <v>0</v>
      </c>
      <c r="D6" s="38">
        <f>SUM(B6:C6)</f>
        <v>3118</v>
      </c>
      <c r="E6" s="39">
        <v>0.2</v>
      </c>
    </row>
    <row r="7" spans="1:10" ht="20.25" customHeight="1" x14ac:dyDescent="0.3">
      <c r="A7" s="120" t="s">
        <v>29</v>
      </c>
      <c r="B7" s="121">
        <f>'INVERSION TOTAL'!E45</f>
        <v>17966.52</v>
      </c>
      <c r="C7" s="121">
        <f>'INVERSION TOTAL'!E55</f>
        <v>2820</v>
      </c>
      <c r="D7" s="121">
        <f>SUM(B7:C7)</f>
        <v>20786.52</v>
      </c>
      <c r="E7" s="273">
        <v>1</v>
      </c>
    </row>
    <row r="8" spans="1:10" x14ac:dyDescent="0.25">
      <c r="A8" s="26" t="s">
        <v>21</v>
      </c>
    </row>
    <row r="9" spans="1:10" x14ac:dyDescent="0.25">
      <c r="D9" s="210"/>
      <c r="H9" s="26" t="s">
        <v>324</v>
      </c>
      <c r="J9" s="26" t="s">
        <v>272</v>
      </c>
    </row>
    <row r="10" spans="1:10" ht="14.25" x14ac:dyDescent="0.3">
      <c r="A10" s="340"/>
      <c r="B10" s="341" t="s">
        <v>250</v>
      </c>
      <c r="C10" s="342" t="s">
        <v>251</v>
      </c>
      <c r="H10" s="26">
        <v>20786.52</v>
      </c>
      <c r="J10" s="26">
        <f>'INVERSION TOTAL'!E55</f>
        <v>2820</v>
      </c>
    </row>
    <row r="11" spans="1:10" ht="14.25" x14ac:dyDescent="0.3">
      <c r="A11" s="23" t="s">
        <v>264</v>
      </c>
      <c r="B11" s="339">
        <v>0.8</v>
      </c>
      <c r="C11" s="39">
        <v>1</v>
      </c>
    </row>
    <row r="12" spans="1:10" ht="14.25" x14ac:dyDescent="0.3">
      <c r="A12" s="23" t="s">
        <v>99</v>
      </c>
      <c r="B12" s="339">
        <v>0.2</v>
      </c>
      <c r="C12" s="39"/>
    </row>
    <row r="14" spans="1:10" ht="16.5" x14ac:dyDescent="0.3">
      <c r="B14" s="402"/>
      <c r="C14" s="402"/>
    </row>
    <row r="15" spans="1:10" x14ac:dyDescent="0.25">
      <c r="E15" s="224"/>
    </row>
    <row r="23" spans="7:7" ht="13.15" x14ac:dyDescent="0.3">
      <c r="G23" s="210"/>
    </row>
  </sheetData>
  <mergeCells count="3">
    <mergeCell ref="A1:E1"/>
    <mergeCell ref="B3:E3"/>
    <mergeCell ref="A3:A4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H28"/>
  <sheetViews>
    <sheetView showGridLines="0" zoomScale="90" zoomScaleNormal="90" workbookViewId="0">
      <selection activeCell="C5" sqref="C5"/>
    </sheetView>
  </sheetViews>
  <sheetFormatPr baseColWidth="10" defaultColWidth="11.42578125" defaultRowHeight="12.75" x14ac:dyDescent="0.25"/>
  <cols>
    <col min="1" max="1" width="11.42578125" style="27"/>
    <col min="2" max="2" width="17.28515625" style="27" customWidth="1"/>
    <col min="3" max="3" width="14.28515625" style="27" customWidth="1"/>
    <col min="4" max="6" width="11.42578125" style="27"/>
    <col min="7" max="7" width="14.5703125" style="27" customWidth="1"/>
    <col min="8" max="8" width="12.7109375" style="27" customWidth="1"/>
    <col min="9" max="16384" width="11.42578125" style="27"/>
  </cols>
  <sheetData>
    <row r="2" spans="2:6" ht="13.5" x14ac:dyDescent="0.3">
      <c r="B2" s="620" t="s">
        <v>28</v>
      </c>
      <c r="C2" s="620"/>
      <c r="D2" s="57"/>
      <c r="E2" s="52"/>
      <c r="F2" s="52"/>
    </row>
    <row r="3" spans="2:6" ht="13.5" x14ac:dyDescent="0.3">
      <c r="B3" s="62" t="s">
        <v>112</v>
      </c>
      <c r="C3" s="123">
        <v>3118</v>
      </c>
      <c r="D3" s="291"/>
      <c r="E3" s="53"/>
      <c r="F3" s="53"/>
    </row>
    <row r="4" spans="2:6" ht="13.5" x14ac:dyDescent="0.3">
      <c r="B4" s="62" t="s">
        <v>113</v>
      </c>
      <c r="C4" s="280">
        <v>0.15</v>
      </c>
      <c r="D4" s="58"/>
      <c r="E4" s="53"/>
      <c r="F4" s="53"/>
    </row>
    <row r="5" spans="2:6" ht="13.5" x14ac:dyDescent="0.3">
      <c r="B5" s="62" t="s">
        <v>114</v>
      </c>
      <c r="C5" s="63">
        <v>12</v>
      </c>
      <c r="D5" s="66"/>
      <c r="E5" s="54"/>
      <c r="F5" s="53"/>
    </row>
    <row r="6" spans="2:6" ht="13.5" x14ac:dyDescent="0.3">
      <c r="B6" s="62" t="s">
        <v>115</v>
      </c>
      <c r="C6" s="64">
        <v>0.63800000000000001</v>
      </c>
      <c r="D6" s="292"/>
      <c r="E6" s="54"/>
      <c r="F6" s="53"/>
    </row>
    <row r="7" spans="2:6" ht="13.5" x14ac:dyDescent="0.3">
      <c r="B7" s="62" t="s">
        <v>109</v>
      </c>
      <c r="C7" s="63">
        <f>(((1+(C4))^(1/C5))-1)*100</f>
        <v>1.171491691985338</v>
      </c>
      <c r="D7" s="66"/>
      <c r="E7" s="281"/>
      <c r="F7" s="53"/>
    </row>
    <row r="8" spans="2:6" ht="13.5" x14ac:dyDescent="0.3">
      <c r="B8" s="62" t="s">
        <v>110</v>
      </c>
      <c r="C8" s="65">
        <f>(((1+(C6/100))^(1/C5))-1)*100</f>
        <v>5.3011829244464792E-2</v>
      </c>
      <c r="D8" s="293"/>
      <c r="E8" s="54"/>
      <c r="F8" s="53"/>
    </row>
    <row r="9" spans="2:6" ht="13.5" x14ac:dyDescent="0.3">
      <c r="B9" s="62" t="s">
        <v>111</v>
      </c>
      <c r="C9" s="280">
        <f>(POWER((1+C4/100),(1/12))-1)*100</f>
        <v>1.2491414476678564E-2</v>
      </c>
      <c r="D9" s="294"/>
      <c r="E9" s="281"/>
      <c r="F9" s="53"/>
    </row>
    <row r="10" spans="2:6" ht="13.5" x14ac:dyDescent="0.3">
      <c r="B10" s="62" t="s">
        <v>90</v>
      </c>
      <c r="C10" s="63">
        <f>C3*(((C9*((1+C9)^C5)))/(((1+C9)^C5)-1))</f>
        <v>281.41025994036357</v>
      </c>
      <c r="D10" s="66"/>
      <c r="E10" s="54"/>
      <c r="F10" s="53"/>
    </row>
    <row r="11" spans="2:6" ht="13.5" x14ac:dyDescent="0.3">
      <c r="C11" s="66"/>
      <c r="D11" s="58"/>
      <c r="E11" s="282"/>
      <c r="F11" s="53"/>
    </row>
    <row r="12" spans="2:6" ht="13.5" x14ac:dyDescent="0.3">
      <c r="B12" s="67" t="s">
        <v>91</v>
      </c>
      <c r="C12" s="67"/>
      <c r="D12" s="67"/>
      <c r="E12" s="279"/>
      <c r="F12" s="67"/>
    </row>
    <row r="13" spans="2:6" ht="13.5" x14ac:dyDescent="0.3">
      <c r="B13" s="67"/>
      <c r="C13" s="67"/>
      <c r="D13" s="67"/>
      <c r="E13" s="67"/>
      <c r="F13" s="67"/>
    </row>
    <row r="14" spans="2:6" ht="13.5" x14ac:dyDescent="0.25">
      <c r="B14" s="122" t="s">
        <v>87</v>
      </c>
      <c r="C14" s="122" t="s">
        <v>88</v>
      </c>
      <c r="D14" s="122" t="s">
        <v>116</v>
      </c>
      <c r="E14" s="122" t="s">
        <v>89</v>
      </c>
      <c r="F14" s="122" t="s">
        <v>90</v>
      </c>
    </row>
    <row r="15" spans="2:6" ht="13.5" x14ac:dyDescent="0.3">
      <c r="B15" s="55">
        <v>0</v>
      </c>
      <c r="C15" s="56">
        <f>C3</f>
        <v>3118</v>
      </c>
      <c r="D15" s="56">
        <v>0</v>
      </c>
      <c r="E15" s="56">
        <v>0</v>
      </c>
      <c r="F15" s="56">
        <v>0</v>
      </c>
    </row>
    <row r="16" spans="2:6" ht="13.5" x14ac:dyDescent="0.3">
      <c r="B16" s="55">
        <v>1</v>
      </c>
      <c r="C16" s="56">
        <f>C15-D16</f>
        <v>2875.5379703979202</v>
      </c>
      <c r="D16" s="56">
        <f>F16-E16</f>
        <v>242.46202960207981</v>
      </c>
      <c r="E16" s="56">
        <f>C15*$C$9</f>
        <v>38.948230338283764</v>
      </c>
      <c r="F16" s="56">
        <f>$C$10</f>
        <v>281.41025994036357</v>
      </c>
    </row>
    <row r="17" spans="2:8" ht="13.5" x14ac:dyDescent="0.3">
      <c r="B17" s="55">
        <f>B16+1</f>
        <v>2</v>
      </c>
      <c r="C17" s="56">
        <f t="shared" ref="C17:C26" si="0">C16-D17</f>
        <v>2630.0472470892241</v>
      </c>
      <c r="D17" s="56">
        <f t="shared" ref="D17:D21" si="1">F17-E17</f>
        <v>245.49072330869609</v>
      </c>
      <c r="E17" s="56">
        <f t="shared" ref="E17:E24" si="2">C16*$C$9</f>
        <v>35.919536631667476</v>
      </c>
      <c r="F17" s="56">
        <f t="shared" ref="F17:F27" si="3">$C$10</f>
        <v>281.41025994036357</v>
      </c>
    </row>
    <row r="18" spans="2:8" ht="13.5" x14ac:dyDescent="0.3">
      <c r="B18" s="55">
        <f t="shared" ref="B18:B27" si="4">B17+1</f>
        <v>3</v>
      </c>
      <c r="C18" s="56">
        <f t="shared" si="0"/>
        <v>2381.4899974054997</v>
      </c>
      <c r="D18" s="56">
        <f t="shared" si="1"/>
        <v>248.55724968372465</v>
      </c>
      <c r="E18" s="56">
        <f t="shared" si="2"/>
        <v>32.853010256638939</v>
      </c>
      <c r="F18" s="56">
        <f t="shared" si="3"/>
        <v>281.41025994036357</v>
      </c>
    </row>
    <row r="19" spans="2:8" ht="13.5" x14ac:dyDescent="0.3">
      <c r="B19" s="55">
        <f t="shared" si="4"/>
        <v>4</v>
      </c>
      <c r="C19" s="56">
        <f t="shared" si="0"/>
        <v>2129.8279160947923</v>
      </c>
      <c r="D19" s="56">
        <f>F19-E19</f>
        <v>251.66208131070732</v>
      </c>
      <c r="E19" s="56">
        <f t="shared" si="2"/>
        <v>29.748178629656255</v>
      </c>
      <c r="F19" s="56">
        <f t="shared" si="3"/>
        <v>281.41025994036357</v>
      </c>
      <c r="G19" s="410"/>
    </row>
    <row r="20" spans="2:8" ht="13.5" x14ac:dyDescent="0.3">
      <c r="B20" s="55">
        <f t="shared" si="4"/>
        <v>5</v>
      </c>
      <c r="C20" s="56">
        <f t="shared" si="0"/>
        <v>1875.0222194183693</v>
      </c>
      <c r="D20" s="56">
        <f t="shared" si="1"/>
        <v>254.80569667642294</v>
      </c>
      <c r="E20" s="56">
        <f t="shared" si="2"/>
        <v>26.604563263940626</v>
      </c>
      <c r="F20" s="56">
        <f t="shared" si="3"/>
        <v>281.41025994036357</v>
      </c>
    </row>
    <row r="21" spans="2:8" ht="13.5" x14ac:dyDescent="0.3">
      <c r="B21" s="55">
        <f t="shared" si="4"/>
        <v>6</v>
      </c>
      <c r="C21" s="56">
        <f t="shared" si="0"/>
        <v>1617.0336391737424</v>
      </c>
      <c r="D21" s="56">
        <f t="shared" si="1"/>
        <v>257.98858024462697</v>
      </c>
      <c r="E21" s="56">
        <f t="shared" si="2"/>
        <v>23.421679695736589</v>
      </c>
      <c r="F21" s="56">
        <f t="shared" si="3"/>
        <v>281.41025994036357</v>
      </c>
    </row>
    <row r="22" spans="2:8" ht="13.5" x14ac:dyDescent="0.3">
      <c r="B22" s="55">
        <f t="shared" si="4"/>
        <v>7</v>
      </c>
      <c r="C22" s="56">
        <f t="shared" si="0"/>
        <v>1355.82241664303</v>
      </c>
      <c r="D22" s="56">
        <f t="shared" ref="D22:D27" si="5">F22-(C21*$C$9)</f>
        <v>261.21122253071246</v>
      </c>
      <c r="E22" s="56">
        <f t="shared" si="2"/>
        <v>20.199037409651108</v>
      </c>
      <c r="F22" s="56">
        <f t="shared" si="3"/>
        <v>281.41025994036357</v>
      </c>
    </row>
    <row r="23" spans="2:8" ht="13.5" x14ac:dyDescent="0.3">
      <c r="B23" s="55">
        <f t="shared" si="4"/>
        <v>8</v>
      </c>
      <c r="C23" s="56">
        <f t="shared" si="0"/>
        <v>1091.3482964657264</v>
      </c>
      <c r="D23" s="56">
        <f t="shared" si="5"/>
        <v>264.47412017730352</v>
      </c>
      <c r="E23" s="56">
        <f t="shared" si="2"/>
        <v>16.936139763060062</v>
      </c>
      <c r="F23" s="56">
        <f t="shared" si="3"/>
        <v>281.41025994036357</v>
      </c>
    </row>
    <row r="24" spans="2:8" ht="13.5" x14ac:dyDescent="0.3">
      <c r="B24" s="55">
        <f t="shared" si="4"/>
        <v>9</v>
      </c>
      <c r="C24" s="56">
        <f t="shared" si="0"/>
        <v>823.57052043493331</v>
      </c>
      <c r="D24" s="56">
        <f t="shared" si="5"/>
        <v>267.77777603079312</v>
      </c>
      <c r="E24" s="56">
        <f t="shared" si="2"/>
        <v>13.632483909570464</v>
      </c>
      <c r="F24" s="56">
        <f t="shared" si="3"/>
        <v>281.41025994036357</v>
      </c>
    </row>
    <row r="25" spans="2:8" ht="13.5" x14ac:dyDescent="0.3">
      <c r="B25" s="55">
        <f t="shared" si="4"/>
        <v>10</v>
      </c>
      <c r="C25" s="56">
        <f t="shared" si="0"/>
        <v>552.44782121609637</v>
      </c>
      <c r="D25" s="56">
        <f t="shared" si="5"/>
        <v>271.12269921883694</v>
      </c>
      <c r="E25" s="56">
        <f>F25-D25</f>
        <v>10.287560721526631</v>
      </c>
      <c r="F25" s="56">
        <f t="shared" si="3"/>
        <v>281.41025994036357</v>
      </c>
    </row>
    <row r="26" spans="2:8" ht="13.5" x14ac:dyDescent="0.3">
      <c r="B26" s="55">
        <f t="shared" si="4"/>
        <v>11</v>
      </c>
      <c r="C26" s="56">
        <f t="shared" si="0"/>
        <v>277.93841598728108</v>
      </c>
      <c r="D26" s="56">
        <f t="shared" si="5"/>
        <v>274.5094052288153</v>
      </c>
      <c r="E26" s="56">
        <f>F26-D26</f>
        <v>6.900854711548277</v>
      </c>
      <c r="F26" s="56">
        <f>$C$10</f>
        <v>281.41025994036357</v>
      </c>
      <c r="H26" s="267">
        <f>C16+D16</f>
        <v>3118</v>
      </c>
    </row>
    <row r="27" spans="2:8" ht="13.5" x14ac:dyDescent="0.3">
      <c r="B27" s="55">
        <f t="shared" si="4"/>
        <v>12</v>
      </c>
      <c r="C27" s="56">
        <f>C26-D27</f>
        <v>6.1390892369672656E-12</v>
      </c>
      <c r="D27" s="56">
        <f t="shared" si="5"/>
        <v>277.93841598727494</v>
      </c>
      <c r="E27" s="56">
        <f>F27-D27</f>
        <v>3.4718439530886371</v>
      </c>
      <c r="F27" s="56">
        <f t="shared" si="3"/>
        <v>281.41025994036357</v>
      </c>
    </row>
    <row r="28" spans="2:8" ht="12" x14ac:dyDescent="0.3">
      <c r="D28" s="551">
        <f>SUM(D15:D27)</f>
        <v>3117.9999999999936</v>
      </c>
    </row>
  </sheetData>
  <mergeCells count="1">
    <mergeCell ref="B2:C2"/>
  </mergeCells>
  <pageMargins left="0.7" right="0.7" top="0.75" bottom="0.75" header="0.3" footer="0.3"/>
  <pageSetup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A33"/>
  <sheetViews>
    <sheetView zoomScaleNormal="100" workbookViewId="0">
      <pane ySplit="1" topLeftCell="A2" activePane="bottomLeft" state="frozen"/>
      <selection pane="bottomLeft" activeCell="C31" sqref="C31"/>
    </sheetView>
  </sheetViews>
  <sheetFormatPr baseColWidth="10" defaultColWidth="11.42578125" defaultRowHeight="12.75" x14ac:dyDescent="0.25"/>
  <cols>
    <col min="1" max="1" width="29.85546875" style="27" customWidth="1"/>
    <col min="2" max="2" width="12.140625" style="28" customWidth="1"/>
    <col min="3" max="3" width="15.28515625" style="28" customWidth="1"/>
    <col min="4" max="4" width="11.28515625" style="28" customWidth="1"/>
    <col min="5" max="5" width="10.85546875" style="28" customWidth="1"/>
    <col min="6" max="6" width="13" style="28" customWidth="1"/>
    <col min="7" max="8" width="10.5703125" style="28" customWidth="1"/>
    <col min="9" max="9" width="14.7109375" style="28" customWidth="1"/>
    <col min="10" max="10" width="12.140625" style="28" customWidth="1"/>
    <col min="11" max="11" width="11.140625" style="28" customWidth="1"/>
    <col min="12" max="12" width="11.5703125" style="28" customWidth="1"/>
    <col min="13" max="13" width="11.28515625" style="28" customWidth="1"/>
    <col min="14" max="14" width="12.28515625" style="28" customWidth="1"/>
    <col min="15" max="15" width="16.7109375" style="28" customWidth="1"/>
    <col min="16" max="26" width="13.140625" style="28" customWidth="1"/>
    <col min="27" max="27" width="14.28515625" style="27" customWidth="1"/>
    <col min="28" max="16384" width="11.42578125" style="27"/>
  </cols>
  <sheetData>
    <row r="1" spans="1:27" ht="14.25" x14ac:dyDescent="0.25">
      <c r="A1" s="621" t="s">
        <v>385</v>
      </c>
      <c r="B1" s="621"/>
      <c r="C1" s="621"/>
      <c r="D1" s="368"/>
      <c r="E1" s="76"/>
      <c r="F1" s="76"/>
      <c r="G1" s="76"/>
      <c r="H1" s="76"/>
      <c r="I1" s="76"/>
      <c r="J1" s="76"/>
      <c r="K1" s="76"/>
      <c r="L1" s="76"/>
      <c r="M1" s="76"/>
      <c r="N1" s="76"/>
    </row>
    <row r="2" spans="1:27" ht="14.25" thickBot="1" x14ac:dyDescent="0.3">
      <c r="A2" s="2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</row>
    <row r="3" spans="1:27" s="37" customFormat="1" ht="15" thickBot="1" x14ac:dyDescent="0.3">
      <c r="A3" s="369" t="s">
        <v>271</v>
      </c>
      <c r="B3" s="370" t="s">
        <v>38</v>
      </c>
      <c r="C3" s="370" t="s">
        <v>39</v>
      </c>
      <c r="D3" s="370" t="s">
        <v>40</v>
      </c>
      <c r="E3" s="371" t="s">
        <v>41</v>
      </c>
      <c r="F3" s="371" t="s">
        <v>42</v>
      </c>
      <c r="G3" s="371" t="s">
        <v>43</v>
      </c>
      <c r="H3" s="372" t="s">
        <v>44</v>
      </c>
      <c r="I3" s="372" t="s">
        <v>45</v>
      </c>
      <c r="J3" s="372" t="s">
        <v>46</v>
      </c>
      <c r="K3" s="373" t="s">
        <v>47</v>
      </c>
      <c r="L3" s="373" t="s">
        <v>48</v>
      </c>
      <c r="M3" s="373" t="s">
        <v>49</v>
      </c>
      <c r="N3" s="374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</row>
    <row r="4" spans="1:27" s="37" customFormat="1" ht="24" customHeight="1" x14ac:dyDescent="0.25">
      <c r="A4" s="375" t="str">
        <f>+'INVERSION TOTAL'!A48</f>
        <v>Elaboración deL SERVICIO DE LAVADO DEL AUTO</v>
      </c>
      <c r="B4">
        <v>600</v>
      </c>
      <c r="C4">
        <v>600</v>
      </c>
      <c r="D4">
        <v>600</v>
      </c>
      <c r="E4">
        <v>600</v>
      </c>
      <c r="F4">
        <v>600</v>
      </c>
      <c r="G4">
        <v>600</v>
      </c>
      <c r="H4">
        <v>600</v>
      </c>
      <c r="I4">
        <v>600</v>
      </c>
      <c r="J4">
        <v>600</v>
      </c>
      <c r="K4">
        <v>600</v>
      </c>
      <c r="L4">
        <v>600</v>
      </c>
      <c r="M4">
        <v>600</v>
      </c>
      <c r="N4" s="37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7" ht="13.5" x14ac:dyDescent="0.25">
      <c r="A5" s="26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7" ht="14.25" x14ac:dyDescent="0.3">
      <c r="A6" s="622" t="s">
        <v>51</v>
      </c>
      <c r="B6" s="622"/>
      <c r="C6" s="622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</row>
    <row r="7" spans="1:27" ht="14.25" thickBot="1" x14ac:dyDescent="0.3">
      <c r="A7" s="2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</row>
    <row r="8" spans="1:27" ht="15" thickBot="1" x14ac:dyDescent="0.3">
      <c r="A8" s="369" t="s">
        <v>271</v>
      </c>
      <c r="B8" s="377" t="s">
        <v>50</v>
      </c>
      <c r="C8" s="370" t="s">
        <v>38</v>
      </c>
      <c r="D8" s="370" t="s">
        <v>39</v>
      </c>
      <c r="E8" s="370" t="s">
        <v>40</v>
      </c>
      <c r="F8" s="371" t="s">
        <v>41</v>
      </c>
      <c r="G8" s="371" t="s">
        <v>42</v>
      </c>
      <c r="H8" s="371" t="s">
        <v>43</v>
      </c>
      <c r="I8" s="372" t="s">
        <v>44</v>
      </c>
      <c r="J8" s="372" t="s">
        <v>45</v>
      </c>
      <c r="K8" s="372" t="s">
        <v>46</v>
      </c>
      <c r="L8" s="373" t="s">
        <v>47</v>
      </c>
      <c r="M8" s="373" t="s">
        <v>48</v>
      </c>
      <c r="N8" s="373" t="s">
        <v>49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</row>
    <row r="9" spans="1:27" ht="29.25" customHeight="1" x14ac:dyDescent="0.25">
      <c r="A9" s="375" t="str">
        <f>+A4</f>
        <v>Elaboración deL SERVICIO DE LAVADO DEL AUTO</v>
      </c>
      <c r="B9" s="581">
        <v>25</v>
      </c>
      <c r="C9" s="378">
        <f>B4*B9</f>
        <v>15000</v>
      </c>
      <c r="D9" s="378">
        <f>C4*B9</f>
        <v>15000</v>
      </c>
      <c r="E9" s="379">
        <f>D4*B9</f>
        <v>15000</v>
      </c>
      <c r="F9" s="379">
        <f>E4*B9</f>
        <v>15000</v>
      </c>
      <c r="G9" s="379">
        <f>F4*B9</f>
        <v>15000</v>
      </c>
      <c r="H9" s="379">
        <f>G4*B9</f>
        <v>15000</v>
      </c>
      <c r="I9" s="379">
        <f>H4*B9</f>
        <v>15000</v>
      </c>
      <c r="J9" s="379">
        <f>I4*B9</f>
        <v>15000</v>
      </c>
      <c r="K9" s="379">
        <f>J4*B9</f>
        <v>15000</v>
      </c>
      <c r="L9" s="379">
        <f>K4*B9</f>
        <v>15000</v>
      </c>
      <c r="M9" s="378">
        <f>L4*B9</f>
        <v>15000</v>
      </c>
      <c r="N9" s="378">
        <f>M4*B9</f>
        <v>15000</v>
      </c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</row>
    <row r="10" spans="1:27" ht="14.25" x14ac:dyDescent="0.3">
      <c r="A10" s="121" t="s">
        <v>52</v>
      </c>
      <c r="B10" s="380"/>
      <c r="C10" s="380">
        <f t="shared" ref="C10:N10" si="0">SUM(C9:C9)</f>
        <v>15000</v>
      </c>
      <c r="D10" s="380">
        <f t="shared" si="0"/>
        <v>15000</v>
      </c>
      <c r="E10" s="380">
        <f t="shared" si="0"/>
        <v>15000</v>
      </c>
      <c r="F10" s="380">
        <f t="shared" si="0"/>
        <v>15000</v>
      </c>
      <c r="G10" s="380">
        <f t="shared" si="0"/>
        <v>15000</v>
      </c>
      <c r="H10" s="380">
        <f t="shared" si="0"/>
        <v>15000</v>
      </c>
      <c r="I10" s="380">
        <f t="shared" si="0"/>
        <v>15000</v>
      </c>
      <c r="J10" s="380">
        <f t="shared" si="0"/>
        <v>15000</v>
      </c>
      <c r="K10" s="380">
        <f t="shared" si="0"/>
        <v>15000</v>
      </c>
      <c r="L10" s="381">
        <f t="shared" si="0"/>
        <v>15000</v>
      </c>
      <c r="M10" s="380">
        <f t="shared" si="0"/>
        <v>15000</v>
      </c>
      <c r="N10" s="380">
        <f t="shared" si="0"/>
        <v>15000</v>
      </c>
      <c r="O10" s="288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</row>
    <row r="12" spans="1:27" ht="10.9" x14ac:dyDescent="0.25">
      <c r="B12" s="73"/>
    </row>
    <row r="17" spans="1:8" ht="13.5" x14ac:dyDescent="0.3">
      <c r="B17" s="556" t="s">
        <v>355</v>
      </c>
    </row>
    <row r="18" spans="1:8" ht="12" x14ac:dyDescent="0.3">
      <c r="A18" s="552" t="s">
        <v>352</v>
      </c>
      <c r="B18" s="553">
        <f>SUM(C10:N10)</f>
        <v>180000</v>
      </c>
    </row>
    <row r="19" spans="1:8" ht="12" x14ac:dyDescent="0.3">
      <c r="A19" s="552" t="s">
        <v>353</v>
      </c>
      <c r="B19" s="553">
        <f>B18/12</f>
        <v>15000</v>
      </c>
    </row>
    <row r="20" spans="1:8" ht="12" x14ac:dyDescent="0.3">
      <c r="A20" s="552" t="s">
        <v>350</v>
      </c>
      <c r="B20" s="239">
        <f>SUM(B4:M4)</f>
        <v>7200</v>
      </c>
    </row>
    <row r="21" spans="1:8" ht="12" x14ac:dyDescent="0.3">
      <c r="A21" s="552" t="s">
        <v>354</v>
      </c>
      <c r="B21" s="554">
        <f>B20/12</f>
        <v>600</v>
      </c>
    </row>
    <row r="22" spans="1:8" ht="12" x14ac:dyDescent="0.3">
      <c r="A22" s="552" t="s">
        <v>351</v>
      </c>
      <c r="B22" s="555">
        <v>20</v>
      </c>
    </row>
    <row r="23" spans="1:8" ht="10.9" x14ac:dyDescent="0.25">
      <c r="E23" s="304"/>
      <c r="F23" s="304"/>
      <c r="G23" s="304"/>
    </row>
    <row r="24" spans="1:8" x14ac:dyDescent="0.25">
      <c r="E24" s="304"/>
      <c r="F24" s="304"/>
      <c r="G24" s="304"/>
    </row>
    <row r="25" spans="1:8" ht="10.9" x14ac:dyDescent="0.25">
      <c r="E25" s="305"/>
      <c r="F25" s="305"/>
      <c r="G25" s="305"/>
      <c r="H25" s="306"/>
    </row>
    <row r="26" spans="1:8" ht="16.149999999999999" thickBot="1" x14ac:dyDescent="0.35">
      <c r="A26" s="557"/>
      <c r="B26"/>
      <c r="C26" s="560"/>
      <c r="E26" s="306"/>
      <c r="F26" s="306"/>
      <c r="G26" s="306"/>
      <c r="H26" s="306"/>
    </row>
    <row r="27" spans="1:8" ht="16.149999999999999" thickBot="1" x14ac:dyDescent="0.3">
      <c r="A27" s="563" t="s">
        <v>356</v>
      </c>
      <c r="B27" s="565" t="s">
        <v>357</v>
      </c>
      <c r="C27" s="561"/>
    </row>
    <row r="28" spans="1:8" ht="16.5" thickBot="1" x14ac:dyDescent="0.3">
      <c r="A28" s="564" t="s">
        <v>358</v>
      </c>
      <c r="B28" s="566">
        <v>7200</v>
      </c>
      <c r="C28" s="562"/>
    </row>
    <row r="29" spans="1:8" ht="16.5" thickBot="1" x14ac:dyDescent="0.3">
      <c r="A29" s="564" t="s">
        <v>359</v>
      </c>
      <c r="B29" s="566">
        <v>8200</v>
      </c>
      <c r="C29" s="562"/>
    </row>
    <row r="30" spans="1:8" ht="16.5" thickBot="1" x14ac:dyDescent="0.3">
      <c r="A30" s="564" t="s">
        <v>360</v>
      </c>
      <c r="B30" s="566">
        <v>9200</v>
      </c>
      <c r="C30" s="562"/>
    </row>
    <row r="31" spans="1:8" ht="16.5" thickBot="1" x14ac:dyDescent="0.3">
      <c r="A31" s="564" t="s">
        <v>361</v>
      </c>
      <c r="B31" s="566">
        <v>10200</v>
      </c>
      <c r="C31" s="562"/>
    </row>
    <row r="32" spans="1:8" ht="16.5" thickBot="1" x14ac:dyDescent="0.3">
      <c r="A32" s="564" t="s">
        <v>362</v>
      </c>
      <c r="B32" s="566">
        <v>11200</v>
      </c>
      <c r="C32" s="562"/>
    </row>
    <row r="33" spans="1:3" ht="15.75" x14ac:dyDescent="0.25">
      <c r="A33" s="557"/>
      <c r="B33"/>
      <c r="C33" s="560"/>
    </row>
  </sheetData>
  <mergeCells count="2">
    <mergeCell ref="A1:C1"/>
    <mergeCell ref="A6:C6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4"/>
  <sheetViews>
    <sheetView showGridLines="0" zoomScaleNormal="100" workbookViewId="0">
      <selection activeCell="G19" sqref="G19"/>
    </sheetView>
  </sheetViews>
  <sheetFormatPr baseColWidth="10" defaultColWidth="11.42578125" defaultRowHeight="12.75" x14ac:dyDescent="0.25"/>
  <cols>
    <col min="1" max="1" width="40.7109375" style="27" customWidth="1"/>
    <col min="2" max="2" width="10.140625" style="27" bestFit="1" customWidth="1"/>
    <col min="3" max="3" width="11" style="27" customWidth="1"/>
    <col min="4" max="4" width="8.42578125" style="27" bestFit="1" customWidth="1"/>
    <col min="5" max="5" width="10.85546875" style="27" bestFit="1" customWidth="1"/>
    <col min="6" max="6" width="7.7109375" style="27" bestFit="1" customWidth="1"/>
    <col min="7" max="7" width="12.28515625" style="27" bestFit="1" customWidth="1"/>
    <col min="8" max="8" width="9.42578125" style="27" bestFit="1" customWidth="1"/>
    <col min="9" max="9" width="11" style="27" bestFit="1" customWidth="1"/>
    <col min="10" max="10" width="13.140625" style="27" customWidth="1"/>
    <col min="11" max="11" width="11.42578125" style="27"/>
    <col min="12" max="12" width="14" style="27" customWidth="1"/>
    <col min="13" max="16384" width="11.42578125" style="27"/>
  </cols>
  <sheetData>
    <row r="2" spans="1:15" ht="13.5" x14ac:dyDescent="0.3">
      <c r="A2" s="623" t="s">
        <v>56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</row>
    <row r="3" spans="1:15" x14ac:dyDescent="0.25">
      <c r="D3" s="239" t="s">
        <v>232</v>
      </c>
      <c r="E3" s="239" t="s">
        <v>227</v>
      </c>
      <c r="F3" s="239" t="s">
        <v>228</v>
      </c>
      <c r="G3" s="239" t="s">
        <v>229</v>
      </c>
      <c r="J3" s="27" t="s">
        <v>65</v>
      </c>
    </row>
    <row r="4" spans="1:15" ht="27" x14ac:dyDescent="0.3">
      <c r="A4" s="124" t="s">
        <v>63</v>
      </c>
      <c r="B4" s="124" t="s">
        <v>10</v>
      </c>
      <c r="C4" s="125" t="s">
        <v>64</v>
      </c>
      <c r="D4" s="265">
        <v>0.12</v>
      </c>
      <c r="E4" s="265">
        <v>0.1</v>
      </c>
      <c r="F4" s="266">
        <v>1.6E-2</v>
      </c>
      <c r="G4" s="266">
        <v>1.1900000000000001E-2</v>
      </c>
      <c r="H4" s="125" t="s">
        <v>233</v>
      </c>
      <c r="I4" s="125" t="s">
        <v>230</v>
      </c>
      <c r="J4" s="125" t="s">
        <v>234</v>
      </c>
      <c r="K4" s="125" t="s">
        <v>231</v>
      </c>
      <c r="L4" s="412" t="s">
        <v>270</v>
      </c>
      <c r="N4" s="624" t="s">
        <v>294</v>
      </c>
      <c r="O4" s="624"/>
    </row>
    <row r="5" spans="1:15" ht="15" x14ac:dyDescent="0.25">
      <c r="A5" s="211" t="s">
        <v>369</v>
      </c>
      <c r="B5" s="29">
        <v>2</v>
      </c>
      <c r="C5" s="22">
        <v>850</v>
      </c>
      <c r="D5" s="22"/>
      <c r="E5" s="22">
        <f>+C5*E4</f>
        <v>85</v>
      </c>
      <c r="F5" s="22">
        <f>+C5*F4</f>
        <v>13.6</v>
      </c>
      <c r="G5" s="22">
        <f>+C5*G4</f>
        <v>10.115</v>
      </c>
      <c r="H5" s="22">
        <f>+E5+F5+G5</f>
        <v>108.71499999999999</v>
      </c>
      <c r="I5" s="22">
        <f>+C5-H5</f>
        <v>741.28499999999997</v>
      </c>
      <c r="J5" s="30">
        <f>+C5*9%</f>
        <v>76.5</v>
      </c>
      <c r="K5" s="22">
        <f>+C5+J5</f>
        <v>926.5</v>
      </c>
      <c r="L5" s="399">
        <f>(C5*B5)*2</f>
        <v>3400</v>
      </c>
      <c r="N5" s="260">
        <f>L5/12</f>
        <v>283.33333333333331</v>
      </c>
    </row>
    <row r="6" spans="1:15" ht="13.5" x14ac:dyDescent="0.3">
      <c r="A6" s="126" t="s">
        <v>68</v>
      </c>
      <c r="B6" s="126"/>
      <c r="C6" s="127">
        <f t="shared" ref="C6:K6" si="0">+SUM(C5:C5)</f>
        <v>850</v>
      </c>
      <c r="D6" s="127">
        <f t="shared" si="0"/>
        <v>0</v>
      </c>
      <c r="E6" s="127">
        <f t="shared" si="0"/>
        <v>85</v>
      </c>
      <c r="F6" s="127">
        <f t="shared" si="0"/>
        <v>13.6</v>
      </c>
      <c r="G6" s="127">
        <f t="shared" si="0"/>
        <v>10.115</v>
      </c>
      <c r="H6" s="127">
        <f t="shared" si="0"/>
        <v>108.71499999999999</v>
      </c>
      <c r="I6" s="127">
        <f t="shared" si="0"/>
        <v>741.28499999999997</v>
      </c>
      <c r="J6" s="127">
        <f t="shared" si="0"/>
        <v>76.5</v>
      </c>
      <c r="K6" s="127">
        <f t="shared" si="0"/>
        <v>926.5</v>
      </c>
      <c r="L6" s="404">
        <f>SUM(L5:L5)</f>
        <v>3400</v>
      </c>
      <c r="N6" s="476">
        <f>SUM(N5:N5)</f>
        <v>283.33333333333331</v>
      </c>
    </row>
    <row r="7" spans="1:15" ht="13.5" x14ac:dyDescent="0.3">
      <c r="A7" s="128" t="s">
        <v>69</v>
      </c>
      <c r="B7" s="129" t="s">
        <v>26</v>
      </c>
      <c r="N7" s="40"/>
    </row>
    <row r="8" spans="1:15" x14ac:dyDescent="0.25">
      <c r="A8" s="24" t="s">
        <v>66</v>
      </c>
      <c r="B8" s="259">
        <v>0.12790000000000001</v>
      </c>
      <c r="C8" s="261">
        <f>+C5*12.79%</f>
        <v>108.71499999999999</v>
      </c>
      <c r="D8" s="263"/>
      <c r="E8" s="263"/>
      <c r="F8" s="263"/>
      <c r="G8" s="263"/>
      <c r="H8" s="263"/>
      <c r="I8" s="263"/>
      <c r="N8" s="40"/>
    </row>
    <row r="9" spans="1:15" x14ac:dyDescent="0.25">
      <c r="A9" s="24" t="s">
        <v>67</v>
      </c>
      <c r="B9" s="25">
        <v>8.5000000000000006E-2</v>
      </c>
      <c r="C9" s="262">
        <f>+C5-C8</f>
        <v>741.28499999999997</v>
      </c>
      <c r="D9" s="264"/>
      <c r="E9" s="295"/>
      <c r="F9" s="264"/>
      <c r="G9" s="264"/>
      <c r="H9" s="264"/>
      <c r="I9" s="264"/>
      <c r="K9" s="40"/>
    </row>
    <row r="11" spans="1:15" x14ac:dyDescent="0.25">
      <c r="M11" s="40"/>
    </row>
    <row r="12" spans="1:15" ht="13.5" x14ac:dyDescent="0.3">
      <c r="A12" s="623" t="s">
        <v>235</v>
      </c>
      <c r="B12" s="623"/>
      <c r="C12" s="623"/>
      <c r="D12" s="623"/>
      <c r="E12" s="623"/>
      <c r="F12" s="623"/>
      <c r="G12" s="623"/>
      <c r="H12" s="623"/>
      <c r="I12" s="623"/>
      <c r="J12" s="623"/>
      <c r="K12" s="623"/>
      <c r="M12" s="40"/>
    </row>
    <row r="13" spans="1:15" x14ac:dyDescent="0.25">
      <c r="D13" s="239" t="s">
        <v>232</v>
      </c>
      <c r="E13" s="239" t="s">
        <v>227</v>
      </c>
      <c r="F13" s="239" t="s">
        <v>228</v>
      </c>
      <c r="G13" s="239" t="s">
        <v>229</v>
      </c>
      <c r="J13" s="27" t="s">
        <v>65</v>
      </c>
      <c r="M13" s="40"/>
    </row>
    <row r="14" spans="1:15" ht="27" x14ac:dyDescent="0.25">
      <c r="A14" s="124" t="s">
        <v>63</v>
      </c>
      <c r="B14" s="124" t="s">
        <v>10</v>
      </c>
      <c r="C14" s="125" t="s">
        <v>64</v>
      </c>
      <c r="D14" s="265">
        <v>0.12</v>
      </c>
      <c r="E14" s="265">
        <v>0.1</v>
      </c>
      <c r="F14" s="266">
        <v>1.6E-2</v>
      </c>
      <c r="G14" s="266">
        <v>1.1900000000000001E-2</v>
      </c>
      <c r="H14" s="125" t="s">
        <v>233</v>
      </c>
      <c r="I14" s="125" t="s">
        <v>230</v>
      </c>
      <c r="J14" s="125" t="s">
        <v>234</v>
      </c>
      <c r="K14" s="125" t="s">
        <v>231</v>
      </c>
      <c r="M14" s="40"/>
    </row>
    <row r="15" spans="1:15" ht="15" x14ac:dyDescent="0.25">
      <c r="A15" s="211" t="s">
        <v>245</v>
      </c>
      <c r="B15" s="239">
        <v>1</v>
      </c>
      <c r="C15" s="22">
        <v>1000</v>
      </c>
      <c r="D15" s="22"/>
      <c r="E15" s="22">
        <f>+C15*E14</f>
        <v>100</v>
      </c>
      <c r="F15" s="22">
        <f>+C15*F14</f>
        <v>16</v>
      </c>
      <c r="G15" s="22">
        <f>+C15*G14</f>
        <v>11.9</v>
      </c>
      <c r="H15" s="22">
        <f>+E15+F15+G15</f>
        <v>127.9</v>
      </c>
      <c r="I15" s="22">
        <f>+C15-H15</f>
        <v>872.1</v>
      </c>
      <c r="J15" s="30">
        <f>+C15*9%</f>
        <v>90</v>
      </c>
      <c r="K15" s="22">
        <f>+C15+J15</f>
        <v>1090</v>
      </c>
    </row>
    <row r="16" spans="1:15" ht="13.5" x14ac:dyDescent="0.3">
      <c r="A16" s="126" t="s">
        <v>68</v>
      </c>
      <c r="B16" s="126"/>
      <c r="C16" s="127">
        <f>+SUM(C15:C15)</f>
        <v>1000</v>
      </c>
      <c r="D16" s="127">
        <f t="shared" ref="D16:K16" si="1">+SUM(D15:D15)</f>
        <v>0</v>
      </c>
      <c r="E16" s="127">
        <f t="shared" si="1"/>
        <v>100</v>
      </c>
      <c r="F16" s="127">
        <f t="shared" si="1"/>
        <v>16</v>
      </c>
      <c r="G16" s="127">
        <f t="shared" si="1"/>
        <v>11.9</v>
      </c>
      <c r="H16" s="127">
        <f t="shared" si="1"/>
        <v>127.9</v>
      </c>
      <c r="I16" s="127">
        <f t="shared" si="1"/>
        <v>872.1</v>
      </c>
      <c r="J16" s="127">
        <f t="shared" si="1"/>
        <v>90</v>
      </c>
      <c r="K16" s="127">
        <f t="shared" si="1"/>
        <v>1090</v>
      </c>
    </row>
    <row r="17" spans="1:13" ht="13.5" x14ac:dyDescent="0.3">
      <c r="A17" s="128" t="s">
        <v>69</v>
      </c>
      <c r="B17" s="129" t="s">
        <v>26</v>
      </c>
      <c r="M17" s="40"/>
    </row>
    <row r="18" spans="1:13" x14ac:dyDescent="0.25">
      <c r="A18" s="24" t="s">
        <v>66</v>
      </c>
      <c r="B18" s="259">
        <v>0.12790000000000001</v>
      </c>
      <c r="C18" s="261">
        <f>+C15*12.79%</f>
        <v>127.89999999999999</v>
      </c>
      <c r="D18" s="263"/>
      <c r="E18" s="263"/>
      <c r="F18" s="263"/>
      <c r="G18" s="263"/>
      <c r="H18" s="263"/>
      <c r="I18" s="263"/>
    </row>
    <row r="19" spans="1:13" x14ac:dyDescent="0.25">
      <c r="A19" s="24" t="s">
        <v>67</v>
      </c>
      <c r="B19" s="25">
        <v>8.5000000000000006E-2</v>
      </c>
      <c r="C19" s="262">
        <f>+C15-C18</f>
        <v>872.1</v>
      </c>
      <c r="D19" s="264"/>
      <c r="E19" s="264"/>
      <c r="F19" s="264"/>
      <c r="G19" s="264"/>
      <c r="H19" s="264"/>
      <c r="I19" s="264"/>
      <c r="K19" s="40"/>
      <c r="M19" s="40"/>
    </row>
    <row r="23" spans="1:13" x14ac:dyDescent="0.25">
      <c r="M23" s="40"/>
    </row>
    <row r="24" spans="1:13" x14ac:dyDescent="0.25">
      <c r="M24" s="40"/>
    </row>
  </sheetData>
  <mergeCells count="3">
    <mergeCell ref="A2:K2"/>
    <mergeCell ref="A12:K12"/>
    <mergeCell ref="N4:O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I15"/>
  <sheetViews>
    <sheetView zoomScaleNormal="100" workbookViewId="0">
      <selection activeCell="B27" sqref="B27"/>
    </sheetView>
  </sheetViews>
  <sheetFormatPr baseColWidth="10" defaultRowHeight="15" x14ac:dyDescent="0.25"/>
  <cols>
    <col min="1" max="1" width="4.7109375" customWidth="1"/>
    <col min="2" max="2" width="34.5703125" bestFit="1" customWidth="1"/>
    <col min="3" max="3" width="17.42578125" bestFit="1" customWidth="1"/>
    <col min="5" max="5" width="13.7109375" bestFit="1" customWidth="1"/>
    <col min="7" max="7" width="19.28515625" customWidth="1"/>
    <col min="8" max="8" width="13.140625" customWidth="1"/>
    <col min="9" max="9" width="13" bestFit="1" customWidth="1"/>
  </cols>
  <sheetData>
    <row r="1" spans="2:9" x14ac:dyDescent="0.25">
      <c r="C1" s="626" t="s">
        <v>338</v>
      </c>
      <c r="D1" s="626"/>
      <c r="E1" s="626"/>
      <c r="F1" s="626"/>
    </row>
    <row r="2" spans="2:9" x14ac:dyDescent="0.25">
      <c r="C2" s="349"/>
      <c r="D2" s="349"/>
      <c r="E2" s="349"/>
      <c r="F2" s="349"/>
    </row>
    <row r="3" spans="2:9" ht="15.75" x14ac:dyDescent="0.25">
      <c r="B3" s="393" t="s">
        <v>249</v>
      </c>
      <c r="C3" s="394" t="s">
        <v>386</v>
      </c>
      <c r="D3" s="394" t="s">
        <v>191</v>
      </c>
      <c r="E3" s="394" t="s">
        <v>192</v>
      </c>
      <c r="F3" s="394" t="s">
        <v>193</v>
      </c>
      <c r="G3" s="394" t="s">
        <v>336</v>
      </c>
      <c r="H3" s="395" t="s">
        <v>265</v>
      </c>
      <c r="I3" s="395" t="s">
        <v>337</v>
      </c>
    </row>
    <row r="4" spans="2:9" x14ac:dyDescent="0.25">
      <c r="B4" s="214" t="str">
        <f>+'INVERSION TOTAL'!A48</f>
        <v>Elaboración deL SERVICIO DE LAVADO DEL AUTO</v>
      </c>
      <c r="C4" s="343">
        <v>25</v>
      </c>
      <c r="D4" s="182">
        <v>20</v>
      </c>
      <c r="E4" s="344">
        <v>600</v>
      </c>
      <c r="F4" s="182">
        <f>+E4*12</f>
        <v>7200</v>
      </c>
      <c r="G4" s="346">
        <f>+D4*C4</f>
        <v>500</v>
      </c>
      <c r="H4" s="347">
        <f>C4*E4</f>
        <v>15000</v>
      </c>
      <c r="I4" s="347">
        <f>H4*12</f>
        <v>180000</v>
      </c>
    </row>
    <row r="5" spans="2:9" x14ac:dyDescent="0.25">
      <c r="B5" s="214"/>
      <c r="C5" s="182"/>
      <c r="D5" s="182"/>
      <c r="E5" s="182"/>
      <c r="F5" s="182"/>
      <c r="G5" s="276"/>
      <c r="H5" s="345"/>
      <c r="I5" s="345"/>
    </row>
    <row r="6" spans="2:9" x14ac:dyDescent="0.25">
      <c r="B6" s="387" t="s">
        <v>29</v>
      </c>
      <c r="C6" s="388">
        <f>C4</f>
        <v>25</v>
      </c>
      <c r="D6" s="389">
        <f>D4</f>
        <v>20</v>
      </c>
      <c r="E6" s="389">
        <f>SUM(E4:E5)</f>
        <v>600</v>
      </c>
      <c r="F6" s="390">
        <f>SUM(F4:F5)</f>
        <v>7200</v>
      </c>
      <c r="G6" s="391">
        <f>SUM(G4:G5)</f>
        <v>500</v>
      </c>
      <c r="H6" s="392">
        <f>H4</f>
        <v>15000</v>
      </c>
      <c r="I6" s="392">
        <f>I4</f>
        <v>180000</v>
      </c>
    </row>
    <row r="8" spans="2:9" x14ac:dyDescent="0.25">
      <c r="G8" s="241"/>
    </row>
    <row r="9" spans="2:9" ht="14.45" x14ac:dyDescent="0.3">
      <c r="G9" s="241"/>
    </row>
    <row r="10" spans="2:9" ht="15" customHeight="1" x14ac:dyDescent="0.3">
      <c r="D10" s="348"/>
      <c r="E10" s="625"/>
      <c r="F10" s="625"/>
    </row>
    <row r="11" spans="2:9" ht="15" customHeight="1" x14ac:dyDescent="0.3">
      <c r="D11" s="348"/>
      <c r="E11" s="348"/>
      <c r="F11" s="348"/>
      <c r="G11" s="348"/>
    </row>
    <row r="12" spans="2:9" ht="15" customHeight="1" x14ac:dyDescent="0.3">
      <c r="D12" s="348"/>
      <c r="E12" s="348"/>
      <c r="F12" s="348"/>
      <c r="G12" s="348"/>
    </row>
    <row r="13" spans="2:9" ht="15" customHeight="1" x14ac:dyDescent="0.3">
      <c r="D13" s="348"/>
      <c r="E13" s="348"/>
      <c r="F13" s="348"/>
      <c r="G13" s="348"/>
    </row>
    <row r="14" spans="2:9" ht="14.45" x14ac:dyDescent="0.3">
      <c r="D14" s="348"/>
      <c r="E14" s="348"/>
      <c r="F14" s="348"/>
      <c r="G14" s="348"/>
    </row>
    <row r="15" spans="2:9" x14ac:dyDescent="0.25">
      <c r="D15" s="348"/>
      <c r="E15" s="348"/>
      <c r="F15" s="348"/>
      <c r="G15" s="348"/>
    </row>
  </sheetData>
  <mergeCells count="2">
    <mergeCell ref="E10:F10"/>
    <mergeCell ref="C1:F1"/>
  </mergeCells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zoomScale="154" zoomScaleNormal="154" workbookViewId="0">
      <selection activeCell="C8" sqref="C8"/>
    </sheetView>
  </sheetViews>
  <sheetFormatPr baseColWidth="10" defaultColWidth="11.42578125" defaultRowHeight="12.75" x14ac:dyDescent="0.25"/>
  <cols>
    <col min="1" max="1" width="25" style="27" customWidth="1"/>
    <col min="2" max="16384" width="11.42578125" style="27"/>
  </cols>
  <sheetData>
    <row r="1" spans="1:5" ht="13.5" x14ac:dyDescent="0.3">
      <c r="A1" s="623" t="s">
        <v>165</v>
      </c>
      <c r="B1" s="623"/>
      <c r="C1" s="623"/>
      <c r="D1" s="623"/>
      <c r="E1" s="623"/>
    </row>
    <row r="3" spans="1:5" x14ac:dyDescent="0.25">
      <c r="A3" s="627" t="s">
        <v>0</v>
      </c>
      <c r="B3" s="627" t="s">
        <v>1</v>
      </c>
      <c r="C3" s="627" t="s">
        <v>12</v>
      </c>
      <c r="D3" s="627" t="s">
        <v>11</v>
      </c>
      <c r="E3" s="627" t="s">
        <v>2</v>
      </c>
    </row>
    <row r="4" spans="1:5" x14ac:dyDescent="0.25">
      <c r="A4" s="627"/>
      <c r="B4" s="627"/>
      <c r="C4" s="627"/>
      <c r="D4" s="627"/>
      <c r="E4" s="627"/>
    </row>
    <row r="5" spans="1:5" ht="13.5" x14ac:dyDescent="0.3">
      <c r="A5" s="298" t="s">
        <v>6</v>
      </c>
      <c r="B5" s="299"/>
      <c r="C5" s="300"/>
      <c r="D5" s="300"/>
      <c r="E5" s="301">
        <f>SUM(E7:E11)</f>
        <v>730</v>
      </c>
    </row>
    <row r="6" spans="1:5" x14ac:dyDescent="0.25">
      <c r="A6" s="278" t="s">
        <v>196</v>
      </c>
      <c r="B6" s="41">
        <v>1000</v>
      </c>
      <c r="C6" s="221">
        <v>1</v>
      </c>
      <c r="D6" s="239" t="s">
        <v>4</v>
      </c>
      <c r="E6" s="41">
        <v>1000</v>
      </c>
    </row>
    <row r="7" spans="1:5" x14ac:dyDescent="0.25">
      <c r="A7" s="278" t="s">
        <v>194</v>
      </c>
      <c r="B7" s="41">
        <v>100</v>
      </c>
      <c r="C7" s="239">
        <v>1</v>
      </c>
      <c r="D7" s="239" t="s">
        <v>4</v>
      </c>
      <c r="E7" s="41">
        <v>100</v>
      </c>
    </row>
    <row r="8" spans="1:5" x14ac:dyDescent="0.25">
      <c r="A8" s="278" t="s">
        <v>195</v>
      </c>
      <c r="B8" s="41">
        <v>200</v>
      </c>
      <c r="C8" s="239">
        <v>1</v>
      </c>
      <c r="D8" s="239" t="s">
        <v>4</v>
      </c>
      <c r="E8" s="41">
        <v>200</v>
      </c>
    </row>
    <row r="9" spans="1:5" x14ac:dyDescent="0.25">
      <c r="A9" s="278" t="s">
        <v>365</v>
      </c>
      <c r="B9" s="41">
        <v>100</v>
      </c>
      <c r="C9" s="239">
        <v>2</v>
      </c>
      <c r="D9" s="239" t="s">
        <v>4</v>
      </c>
      <c r="E9" s="41">
        <v>200</v>
      </c>
    </row>
    <row r="10" spans="1:5" x14ac:dyDescent="0.25">
      <c r="A10" s="278" t="s">
        <v>168</v>
      </c>
      <c r="B10" s="41">
        <v>30</v>
      </c>
      <c r="C10" s="239">
        <v>1</v>
      </c>
      <c r="D10" s="239" t="s">
        <v>4</v>
      </c>
      <c r="E10" s="41">
        <f t="shared" ref="E10" si="0">B10*C10</f>
        <v>30</v>
      </c>
    </row>
    <row r="11" spans="1:5" x14ac:dyDescent="0.25">
      <c r="A11" s="278" t="s">
        <v>209</v>
      </c>
      <c r="B11" s="41">
        <v>200</v>
      </c>
      <c r="C11" s="239">
        <v>1</v>
      </c>
      <c r="D11" s="239" t="s">
        <v>4</v>
      </c>
      <c r="E11" s="41">
        <v>200</v>
      </c>
    </row>
    <row r="12" spans="1:5" ht="13.5" x14ac:dyDescent="0.3">
      <c r="A12" s="302" t="s">
        <v>7</v>
      </c>
      <c r="B12" s="299"/>
      <c r="C12" s="300"/>
      <c r="D12" s="300"/>
      <c r="E12" s="301">
        <f>SUM(E13:E14)</f>
        <v>150</v>
      </c>
    </row>
    <row r="13" spans="1:5" x14ac:dyDescent="0.25">
      <c r="A13" s="278" t="s">
        <v>295</v>
      </c>
      <c r="B13" s="41">
        <v>50</v>
      </c>
      <c r="C13" s="239">
        <v>1</v>
      </c>
      <c r="D13" s="21" t="s">
        <v>4</v>
      </c>
      <c r="E13" s="41">
        <f>B13*C13</f>
        <v>50</v>
      </c>
    </row>
    <row r="14" spans="1:5" x14ac:dyDescent="0.25">
      <c r="A14" s="278" t="s">
        <v>363</v>
      </c>
      <c r="B14" s="41">
        <v>100</v>
      </c>
      <c r="C14" s="239">
        <v>1</v>
      </c>
      <c r="D14" s="239" t="s">
        <v>364</v>
      </c>
      <c r="E14" s="41">
        <v>100</v>
      </c>
    </row>
    <row r="15" spans="1:5" ht="13.5" x14ac:dyDescent="0.3">
      <c r="A15" s="91" t="s">
        <v>8</v>
      </c>
      <c r="B15" s="131"/>
      <c r="C15" s="277"/>
      <c r="D15" s="277"/>
      <c r="E15" s="130">
        <f>E5+E12</f>
        <v>880</v>
      </c>
    </row>
  </sheetData>
  <mergeCells count="6">
    <mergeCell ref="A1:E1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  <ignoredErrors>
    <ignoredError sqref="E12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C56D2"/>
  </sheetPr>
  <dimension ref="A1:M21"/>
  <sheetViews>
    <sheetView showGridLines="0" topLeftCell="B1" zoomScaleNormal="100" workbookViewId="0">
      <selection activeCell="K17" sqref="K17"/>
    </sheetView>
  </sheetViews>
  <sheetFormatPr baseColWidth="10" defaultRowHeight="15" x14ac:dyDescent="0.25"/>
  <cols>
    <col min="1" max="1" width="6.140625" customWidth="1"/>
    <col min="2" max="2" width="19.7109375" customWidth="1"/>
    <col min="3" max="3" width="25.28515625" customWidth="1"/>
    <col min="4" max="5" width="11.85546875" bestFit="1" customWidth="1"/>
    <col min="6" max="6" width="14.42578125" customWidth="1"/>
    <col min="7" max="7" width="11.42578125" customWidth="1"/>
    <col min="8" max="8" width="15.7109375" customWidth="1"/>
    <col min="9" max="9" width="12" bestFit="1" customWidth="1"/>
    <col min="12" max="12" width="14.28515625" customWidth="1"/>
  </cols>
  <sheetData>
    <row r="1" spans="1:13" ht="15.75" x14ac:dyDescent="0.3">
      <c r="A1" s="628" t="s">
        <v>73</v>
      </c>
      <c r="B1" s="628"/>
      <c r="C1" s="628"/>
      <c r="D1" s="628"/>
      <c r="E1" s="628"/>
      <c r="F1" s="628"/>
      <c r="G1" s="628"/>
      <c r="H1" s="628"/>
    </row>
    <row r="2" spans="1:13" ht="15.75" x14ac:dyDescent="0.3">
      <c r="A2" s="45"/>
      <c r="B2" s="45"/>
      <c r="C2" s="45"/>
      <c r="D2" s="45"/>
      <c r="E2" s="45"/>
      <c r="F2" s="45"/>
      <c r="G2" s="45"/>
      <c r="H2" s="45"/>
    </row>
    <row r="3" spans="1:13" ht="27" x14ac:dyDescent="0.25">
      <c r="A3" s="134" t="s">
        <v>12</v>
      </c>
      <c r="B3" s="134" t="s">
        <v>11</v>
      </c>
      <c r="C3" s="134" t="s">
        <v>63</v>
      </c>
      <c r="D3" s="134" t="s">
        <v>1</v>
      </c>
      <c r="E3" s="134" t="s">
        <v>29</v>
      </c>
      <c r="F3" s="215" t="s">
        <v>208</v>
      </c>
      <c r="G3" s="134" t="s">
        <v>76</v>
      </c>
      <c r="H3" s="134" t="s">
        <v>74</v>
      </c>
    </row>
    <row r="4" spans="1:13" x14ac:dyDescent="0.25">
      <c r="A4" s="43"/>
      <c r="B4" s="43"/>
      <c r="C4" s="135" t="s">
        <v>77</v>
      </c>
      <c r="D4" s="136"/>
      <c r="E4" s="136"/>
      <c r="F4" s="216"/>
      <c r="G4" s="136"/>
      <c r="H4" s="137">
        <f>SUM(H5:H8)</f>
        <v>189.55233333333334</v>
      </c>
    </row>
    <row r="5" spans="1:13" x14ac:dyDescent="0.25">
      <c r="A5" s="42">
        <f>+'INVERSION TOTAL'!C8</f>
        <v>2</v>
      </c>
      <c r="B5" s="8" t="s">
        <v>4</v>
      </c>
      <c r="C5" s="7" t="str">
        <f>+'INVERSION TOTAL'!A8</f>
        <v>OPTIMA STEAMER DMF</v>
      </c>
      <c r="D5" s="17">
        <f>+'INVERSION TOTAL'!B8</f>
        <v>5180.67</v>
      </c>
      <c r="E5" s="17">
        <f>D5*A5</f>
        <v>10361.34</v>
      </c>
      <c r="F5" s="218">
        <v>0.2</v>
      </c>
      <c r="G5" s="283">
        <v>60</v>
      </c>
      <c r="H5" s="44">
        <f>E5/G5</f>
        <v>172.68899999999999</v>
      </c>
      <c r="I5" s="241"/>
    </row>
    <row r="6" spans="1:13" ht="25.5" customHeight="1" x14ac:dyDescent="0.25">
      <c r="A6" s="42">
        <f>+'INVERSION TOTAL'!C9</f>
        <v>1</v>
      </c>
      <c r="B6" s="8" t="s">
        <v>4</v>
      </c>
      <c r="C6" s="7" t="str">
        <f>+'INVERSION TOTAL'!A9</f>
        <v>PAQUETES DE TRAPEADORES DE MICROFIBRA 20 HOJAS</v>
      </c>
      <c r="D6" s="17">
        <f>+'INVERSION TOTAL'!B9</f>
        <v>59.18</v>
      </c>
      <c r="E6" s="17">
        <f>D6*A6</f>
        <v>59.18</v>
      </c>
      <c r="F6" s="218">
        <v>0.1</v>
      </c>
      <c r="G6" s="283">
        <v>6</v>
      </c>
      <c r="H6" s="44">
        <f>E6/G6</f>
        <v>9.8633333333333333</v>
      </c>
      <c r="I6" s="241"/>
      <c r="M6" s="241">
        <f>(E5/5)</f>
        <v>2072.268</v>
      </c>
    </row>
    <row r="7" spans="1:13" ht="21" customHeight="1" x14ac:dyDescent="0.25">
      <c r="A7" s="42">
        <f>+'INVERSION TOTAL'!C12</f>
        <v>1</v>
      </c>
      <c r="B7" s="8" t="s">
        <v>4</v>
      </c>
      <c r="C7" s="7" t="s">
        <v>330</v>
      </c>
      <c r="D7" s="17">
        <f>+'INVERSION TOTAL'!B12</f>
        <v>320</v>
      </c>
      <c r="E7" s="17">
        <f>D7*A7</f>
        <v>320</v>
      </c>
      <c r="F7" s="218">
        <v>0.1</v>
      </c>
      <c r="G7" s="283">
        <v>48</v>
      </c>
      <c r="H7" s="44">
        <f>E7/G7</f>
        <v>6.666666666666667</v>
      </c>
      <c r="I7" s="241"/>
      <c r="M7" s="241">
        <f>M6/12</f>
        <v>172.68899999999999</v>
      </c>
    </row>
    <row r="8" spans="1:13" ht="14.45" x14ac:dyDescent="0.3">
      <c r="A8" s="219">
        <v>1</v>
      </c>
      <c r="B8" s="8" t="s">
        <v>4</v>
      </c>
      <c r="C8" s="7" t="s">
        <v>366</v>
      </c>
      <c r="D8" s="17">
        <v>1410</v>
      </c>
      <c r="E8" s="17">
        <v>20</v>
      </c>
      <c r="F8" s="218">
        <v>0.1</v>
      </c>
      <c r="G8" s="283">
        <v>60</v>
      </c>
      <c r="H8" s="44">
        <f>E8/G8</f>
        <v>0.33333333333333331</v>
      </c>
      <c r="I8" s="241"/>
    </row>
    <row r="9" spans="1:13" ht="15.75" x14ac:dyDescent="0.3">
      <c r="A9" s="219"/>
      <c r="B9" s="8"/>
      <c r="C9" s="118" t="s">
        <v>284</v>
      </c>
      <c r="D9" s="92"/>
      <c r="E9" s="93"/>
      <c r="F9" s="93"/>
      <c r="G9" s="94"/>
      <c r="H9" s="137">
        <f>SUM(H10:H14)</f>
        <v>8.25</v>
      </c>
      <c r="I9" s="241"/>
      <c r="J9" s="384" t="s">
        <v>269</v>
      </c>
      <c r="K9" s="384"/>
    </row>
    <row r="10" spans="1:13" x14ac:dyDescent="0.25">
      <c r="A10" s="212">
        <v>1</v>
      </c>
      <c r="B10" s="8" t="s">
        <v>4</v>
      </c>
      <c r="C10" s="456" t="s">
        <v>237</v>
      </c>
      <c r="D10" s="17">
        <v>230</v>
      </c>
      <c r="E10" s="17">
        <f>D10*A10</f>
        <v>230</v>
      </c>
      <c r="F10" s="218">
        <v>0.1</v>
      </c>
      <c r="G10" s="283">
        <v>120</v>
      </c>
      <c r="H10" s="44">
        <f>E10/G10</f>
        <v>1.9166666666666667</v>
      </c>
      <c r="I10" s="241"/>
      <c r="J10" s="582"/>
      <c r="K10" s="583"/>
      <c r="L10" s="584"/>
    </row>
    <row r="11" spans="1:13" x14ac:dyDescent="0.25">
      <c r="A11" s="212">
        <v>6</v>
      </c>
      <c r="B11" s="8" t="s">
        <v>4</v>
      </c>
      <c r="C11" s="456" t="s">
        <v>343</v>
      </c>
      <c r="D11" s="17">
        <v>40</v>
      </c>
      <c r="E11" s="17">
        <f t="shared" ref="E11:E13" si="0">D11*A11</f>
        <v>240</v>
      </c>
      <c r="F11" s="218">
        <v>0.1</v>
      </c>
      <c r="G11" s="283">
        <v>120</v>
      </c>
      <c r="H11" s="44">
        <f t="shared" ref="H11:H13" si="1">E11/G11</f>
        <v>2</v>
      </c>
      <c r="I11" s="241"/>
      <c r="J11" s="585"/>
      <c r="K11" s="586"/>
      <c r="L11" s="587"/>
    </row>
    <row r="12" spans="1:13" x14ac:dyDescent="0.25">
      <c r="A12" s="212">
        <v>3</v>
      </c>
      <c r="B12" s="8" t="s">
        <v>4</v>
      </c>
      <c r="C12" s="456" t="s">
        <v>382</v>
      </c>
      <c r="D12" s="17">
        <v>50</v>
      </c>
      <c r="E12" s="17">
        <f t="shared" si="0"/>
        <v>150</v>
      </c>
      <c r="F12" s="218">
        <v>0.1</v>
      </c>
      <c r="G12" s="283">
        <v>120</v>
      </c>
      <c r="H12" s="44">
        <f t="shared" si="1"/>
        <v>1.25</v>
      </c>
      <c r="I12" s="241"/>
      <c r="J12" s="585"/>
      <c r="K12" s="586"/>
      <c r="L12" s="587"/>
    </row>
    <row r="13" spans="1:13" x14ac:dyDescent="0.25">
      <c r="A13" s="212">
        <v>1</v>
      </c>
      <c r="B13" s="8" t="s">
        <v>4</v>
      </c>
      <c r="C13" s="456" t="s">
        <v>345</v>
      </c>
      <c r="D13" s="17">
        <v>140</v>
      </c>
      <c r="E13" s="17">
        <f t="shared" si="0"/>
        <v>140</v>
      </c>
      <c r="F13" s="218">
        <v>0.1</v>
      </c>
      <c r="G13" s="283">
        <v>120</v>
      </c>
      <c r="H13" s="44">
        <f t="shared" si="1"/>
        <v>1.1666666666666667</v>
      </c>
      <c r="I13" s="241"/>
      <c r="J13" s="585" t="s">
        <v>276</v>
      </c>
      <c r="K13" s="588" t="s">
        <v>325</v>
      </c>
      <c r="L13" s="589" t="s">
        <v>289</v>
      </c>
    </row>
    <row r="14" spans="1:13" x14ac:dyDescent="0.25">
      <c r="A14" s="212">
        <v>1</v>
      </c>
      <c r="B14" s="8" t="s">
        <v>4</v>
      </c>
      <c r="C14" s="456" t="s">
        <v>367</v>
      </c>
      <c r="D14" s="17">
        <v>230</v>
      </c>
      <c r="E14" s="17">
        <f>D14*A14</f>
        <v>230</v>
      </c>
      <c r="F14" s="218">
        <v>0.1</v>
      </c>
      <c r="G14" s="283">
        <v>120</v>
      </c>
      <c r="H14" s="44">
        <f t="shared" ref="H14:H17" si="2">E14/G14</f>
        <v>1.9166666666666667</v>
      </c>
      <c r="I14" s="241"/>
      <c r="J14" s="585"/>
      <c r="K14" s="632" t="s">
        <v>290</v>
      </c>
      <c r="L14" s="633"/>
    </row>
    <row r="15" spans="1:13" ht="15.75" x14ac:dyDescent="0.3">
      <c r="A15" s="219"/>
      <c r="B15" s="8"/>
      <c r="C15" s="117" t="s">
        <v>190</v>
      </c>
      <c r="D15" s="95"/>
      <c r="E15" s="93"/>
      <c r="F15" s="93"/>
      <c r="G15" s="94"/>
      <c r="H15" s="137">
        <f>SUM(H16:H17)</f>
        <v>1</v>
      </c>
      <c r="I15" s="241"/>
      <c r="J15" s="629"/>
      <c r="K15" s="630"/>
      <c r="L15" s="631"/>
    </row>
    <row r="16" spans="1:13" x14ac:dyDescent="0.25">
      <c r="A16" s="8">
        <v>1</v>
      </c>
      <c r="B16" s="8" t="s">
        <v>4</v>
      </c>
      <c r="C16" s="456" t="s">
        <v>291</v>
      </c>
      <c r="D16" s="435">
        <v>60</v>
      </c>
      <c r="E16" s="17">
        <f t="shared" ref="E16:E17" si="3">D16*A16</f>
        <v>60</v>
      </c>
      <c r="F16" s="220">
        <v>0.1</v>
      </c>
      <c r="G16" s="283">
        <v>120</v>
      </c>
      <c r="H16" s="44">
        <f t="shared" si="2"/>
        <v>0.5</v>
      </c>
      <c r="I16" s="241"/>
      <c r="J16" s="590"/>
      <c r="K16" s="590"/>
      <c r="L16" s="590"/>
    </row>
    <row r="17" spans="1:12" x14ac:dyDescent="0.25">
      <c r="A17" s="8">
        <v>1</v>
      </c>
      <c r="B17" s="8" t="s">
        <v>4</v>
      </c>
      <c r="C17" s="456" t="s">
        <v>292</v>
      </c>
      <c r="D17" s="435">
        <v>60</v>
      </c>
      <c r="E17" s="17">
        <f t="shared" si="3"/>
        <v>60</v>
      </c>
      <c r="F17" s="220">
        <v>0.1</v>
      </c>
      <c r="G17" s="283">
        <v>120</v>
      </c>
      <c r="H17" s="44">
        <f t="shared" si="2"/>
        <v>0.5</v>
      </c>
      <c r="I17" s="241"/>
      <c r="J17" s="590" t="s">
        <v>276</v>
      </c>
      <c r="K17" s="591">
        <f>(D5-F5)/G5</f>
        <v>86.341166666666666</v>
      </c>
      <c r="L17" s="590"/>
    </row>
    <row r="18" spans="1:12" ht="23.25" customHeight="1" x14ac:dyDescent="0.25">
      <c r="A18" s="141"/>
      <c r="B18" s="141"/>
      <c r="C18" s="350" t="s">
        <v>75</v>
      </c>
      <c r="D18" s="351"/>
      <c r="E18" s="138"/>
      <c r="F18" s="217"/>
      <c r="G18" s="139"/>
      <c r="H18" s="140">
        <f>+H4+H9+H15</f>
        <v>198.80233333333334</v>
      </c>
    </row>
    <row r="19" spans="1:12" x14ac:dyDescent="0.25">
      <c r="C19" s="348"/>
      <c r="D19" s="348"/>
      <c r="J19" s="415"/>
      <c r="K19" s="348"/>
      <c r="L19" s="348"/>
    </row>
    <row r="20" spans="1:12" x14ac:dyDescent="0.25">
      <c r="C20" s="348"/>
      <c r="D20" s="348"/>
      <c r="H20" s="241"/>
      <c r="J20" s="415"/>
      <c r="K20" s="413"/>
      <c r="L20" s="348"/>
    </row>
    <row r="21" spans="1:12" x14ac:dyDescent="0.25">
      <c r="C21" s="348"/>
      <c r="D21" s="348"/>
      <c r="E21" s="241"/>
      <c r="J21" s="348"/>
      <c r="K21" s="348"/>
      <c r="L21" s="348"/>
    </row>
  </sheetData>
  <mergeCells count="3">
    <mergeCell ref="A1:H1"/>
    <mergeCell ref="J15:L15"/>
    <mergeCell ref="K14:L14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INDICE</vt:lpstr>
      <vt:lpstr>INVERSION TOTAL</vt:lpstr>
      <vt:lpstr>FINANCIAMIENTO</vt:lpstr>
      <vt:lpstr>AMORTIZACION DE CREDITO</vt:lpstr>
      <vt:lpstr>INGRESO POR VENTAS</vt:lpstr>
      <vt:lpstr>PLANILLA DE EMPLEADOS</vt:lpstr>
      <vt:lpstr>COSTO DEL PRODUCTO</vt:lpstr>
      <vt:lpstr>GASTOS INDIRECTOS</vt:lpstr>
      <vt:lpstr>DEPRECIACION</vt:lpstr>
      <vt:lpstr>PRESUPUESTO DE GASTOS</vt:lpstr>
      <vt:lpstr>ESTADO DE GANACIAS Y PERDIDAS</vt:lpstr>
      <vt:lpstr>BALANCE GENERAL</vt:lpstr>
      <vt:lpstr>FLUJO DE CAJA ECON FINANCI</vt:lpstr>
      <vt:lpstr>PRInversión</vt:lpstr>
      <vt:lpstr>COSTO BENEFICIO</vt:lpstr>
      <vt:lpstr>PUNTO DE EQUILIBRIO</vt:lpstr>
      <vt:lpstr>PU TRAM. ADUAN.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 Carpio E</dc:creator>
  <cp:lastModifiedBy>pc</cp:lastModifiedBy>
  <cp:lastPrinted>2014-04-20T21:17:18Z</cp:lastPrinted>
  <dcterms:created xsi:type="dcterms:W3CDTF">2014-04-17T16:27:25Z</dcterms:created>
  <dcterms:modified xsi:type="dcterms:W3CDTF">2016-12-26T16:13:12Z</dcterms:modified>
</cp:coreProperties>
</file>