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mprimir eMPASTAR\"/>
    </mc:Choice>
  </mc:AlternateContent>
  <bookViews>
    <workbookView xWindow="0" yWindow="0" windowWidth="28800" windowHeight="11610" tabRatio="687"/>
  </bookViews>
  <sheets>
    <sheet name="INVERSION INICIAL" sheetId="1" r:id="rId1"/>
    <sheet name="PLANILLA" sheetId="2" r:id="rId2"/>
    <sheet name="PRESTAMO" sheetId="3" r:id="rId3"/>
    <sheet name="MATERIAL-INSUMOS" sheetId="4" r:id="rId4"/>
    <sheet name="COSTOS" sheetId="5" r:id="rId5"/>
    <sheet name="ESTADO PG" sheetId="6" r:id="rId6"/>
    <sheet name="FLUJO DE CAJA" sheetId="7" r:id="rId7"/>
    <sheet name="IMPRIMIR" sheetId="11" r:id="rId8"/>
    <sheet name="Hoja2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1" i="5" l="1"/>
  <c r="H70" i="5"/>
  <c r="H69" i="5"/>
  <c r="H68" i="5"/>
  <c r="D49" i="5"/>
  <c r="E39" i="5"/>
  <c r="E38" i="5"/>
  <c r="E37" i="5"/>
  <c r="E36" i="5"/>
  <c r="E35" i="5"/>
  <c r="E28" i="5"/>
  <c r="E27" i="5"/>
  <c r="E26" i="5"/>
  <c r="E25" i="5"/>
  <c r="E18" i="5"/>
  <c r="E17" i="5"/>
  <c r="E16" i="5"/>
  <c r="E15" i="5"/>
  <c r="E8" i="5"/>
  <c r="E7" i="5"/>
  <c r="E6" i="5"/>
  <c r="E5" i="5"/>
  <c r="F70" i="5" l="1"/>
  <c r="F69" i="5"/>
  <c r="F68" i="5"/>
  <c r="G71" i="5"/>
  <c r="F71" i="5" s="1"/>
  <c r="G70" i="5"/>
  <c r="G69" i="5"/>
  <c r="G68" i="5"/>
  <c r="E56" i="5"/>
  <c r="E55" i="5"/>
  <c r="E54" i="5"/>
  <c r="E53" i="5"/>
  <c r="E40" i="5"/>
  <c r="E29" i="5"/>
  <c r="E19" i="5"/>
  <c r="E9" i="5"/>
  <c r="J38" i="4" l="1"/>
  <c r="E7" i="4"/>
  <c r="L6" i="4"/>
  <c r="K9" i="4"/>
  <c r="L10" i="4" s="1"/>
  <c r="K10" i="4" s="1"/>
  <c r="E17" i="4"/>
  <c r="E18" i="4"/>
  <c r="C9" i="9" l="1"/>
  <c r="D7" i="2"/>
  <c r="B19" i="9" l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C17" i="9"/>
  <c r="C10" i="9"/>
  <c r="C11" i="9" s="1"/>
  <c r="C12" i="9" s="1"/>
  <c r="F26" i="9" l="1"/>
  <c r="F19" i="9"/>
  <c r="F27" i="9"/>
  <c r="F20" i="9"/>
  <c r="F28" i="9"/>
  <c r="F21" i="9"/>
  <c r="F29" i="9"/>
  <c r="F22" i="9"/>
  <c r="F18" i="9"/>
  <c r="F23" i="9"/>
  <c r="F24" i="9"/>
  <c r="F25" i="9"/>
  <c r="D18" i="9" l="1"/>
  <c r="F30" i="9"/>
  <c r="E18" i="9" l="1"/>
  <c r="C18" i="9"/>
  <c r="D19" i="9" s="1"/>
  <c r="E19" i="9" s="1"/>
  <c r="C19" i="9" l="1"/>
  <c r="D20" i="9" s="1"/>
  <c r="E20" i="9"/>
  <c r="C20" i="9" l="1"/>
  <c r="D21" i="9" s="1"/>
  <c r="E21" i="9" l="1"/>
  <c r="C21" i="9" l="1"/>
  <c r="D22" i="9" s="1"/>
  <c r="E22" i="9" l="1"/>
  <c r="C22" i="9"/>
  <c r="D23" i="9" s="1"/>
  <c r="E23" i="9" l="1"/>
  <c r="C23" i="9" l="1"/>
  <c r="D24" i="9" s="1"/>
  <c r="E24" i="9" l="1"/>
  <c r="C24" i="9" l="1"/>
  <c r="D25" i="9" s="1"/>
  <c r="E25" i="9" l="1"/>
  <c r="C25" i="9" l="1"/>
  <c r="D26" i="9" s="1"/>
  <c r="E26" i="9" l="1"/>
  <c r="C26" i="9" l="1"/>
  <c r="D27" i="9" s="1"/>
  <c r="E27" i="9" l="1"/>
  <c r="C27" i="9"/>
  <c r="D28" i="9" s="1"/>
  <c r="E28" i="9" l="1"/>
  <c r="C28" i="9" l="1"/>
  <c r="D29" i="9" s="1"/>
  <c r="D30" i="9" s="1"/>
  <c r="E29" i="9" l="1"/>
  <c r="C29" i="9" l="1"/>
  <c r="K68" i="7" l="1"/>
  <c r="K67" i="7"/>
  <c r="K66" i="7"/>
  <c r="K65" i="7"/>
  <c r="K64" i="7"/>
  <c r="K63" i="7"/>
  <c r="K62" i="7"/>
  <c r="K61" i="7"/>
  <c r="K60" i="7"/>
  <c r="K59" i="7"/>
  <c r="K58" i="7"/>
  <c r="K57" i="7"/>
  <c r="E68" i="7"/>
  <c r="E67" i="7"/>
  <c r="E66" i="7"/>
  <c r="E65" i="7"/>
  <c r="E64" i="7"/>
  <c r="E63" i="7"/>
  <c r="E62" i="7"/>
  <c r="E61" i="7"/>
  <c r="E60" i="7"/>
  <c r="E59" i="7"/>
  <c r="E58" i="7"/>
  <c r="E57" i="7"/>
  <c r="J51" i="7" l="1"/>
  <c r="J50" i="7"/>
  <c r="J49" i="7"/>
  <c r="J48" i="7"/>
  <c r="J47" i="7"/>
  <c r="J46" i="7"/>
  <c r="J45" i="7"/>
  <c r="J44" i="7"/>
  <c r="J43" i="7"/>
  <c r="J42" i="7"/>
  <c r="J41" i="7"/>
  <c r="J40" i="7"/>
  <c r="D51" i="7"/>
  <c r="D50" i="7"/>
  <c r="D49" i="7"/>
  <c r="D48" i="7"/>
  <c r="D47" i="7"/>
  <c r="D46" i="7"/>
  <c r="D45" i="7"/>
  <c r="D44" i="7"/>
  <c r="D43" i="7"/>
  <c r="D42" i="7"/>
  <c r="D41" i="7"/>
  <c r="D40" i="7"/>
  <c r="O20" i="7"/>
  <c r="N20" i="7"/>
  <c r="M20" i="7"/>
  <c r="L20" i="7"/>
  <c r="K20" i="7"/>
  <c r="J20" i="7"/>
  <c r="I20" i="7"/>
  <c r="H20" i="7"/>
  <c r="G20" i="7"/>
  <c r="F20" i="7"/>
  <c r="E20" i="7"/>
  <c r="D20" i="7"/>
  <c r="R19" i="7" s="1"/>
  <c r="R21" i="7" s="1"/>
  <c r="O19" i="7"/>
  <c r="N19" i="7"/>
  <c r="N21" i="7" s="1"/>
  <c r="M19" i="7"/>
  <c r="L19" i="7"/>
  <c r="K19" i="7"/>
  <c r="J19" i="7"/>
  <c r="I19" i="7"/>
  <c r="I21" i="7" s="1"/>
  <c r="H19" i="7"/>
  <c r="G19" i="7"/>
  <c r="F19" i="7"/>
  <c r="F21" i="7" s="1"/>
  <c r="E19" i="7"/>
  <c r="D19" i="7"/>
  <c r="O21" i="7" l="1"/>
  <c r="J21" i="7"/>
  <c r="G21" i="7"/>
  <c r="L21" i="7"/>
  <c r="H21" i="7"/>
  <c r="K21" i="7"/>
  <c r="D21" i="7"/>
  <c r="E21" i="7"/>
  <c r="M21" i="7"/>
  <c r="C24" i="7"/>
  <c r="D23" i="6"/>
  <c r="E23" i="6"/>
  <c r="F23" i="6"/>
  <c r="G23" i="6"/>
  <c r="H23" i="6"/>
  <c r="I23" i="6"/>
  <c r="J23" i="6"/>
  <c r="K23" i="6"/>
  <c r="L23" i="6"/>
  <c r="M23" i="6"/>
  <c r="N23" i="6"/>
  <c r="C23" i="6" l="1"/>
  <c r="O23" i="6" s="1"/>
  <c r="D50" i="5" l="1"/>
  <c r="E38" i="4" l="1"/>
  <c r="E36" i="4"/>
  <c r="E40" i="4"/>
  <c r="E39" i="4"/>
  <c r="E37" i="4"/>
  <c r="E28" i="4"/>
  <c r="E29" i="4"/>
  <c r="E27" i="4"/>
  <c r="E26" i="4"/>
  <c r="E19" i="4"/>
  <c r="E16" i="4"/>
  <c r="E62" i="5" l="1"/>
  <c r="F62" i="5" s="1"/>
  <c r="E60" i="5"/>
  <c r="E63" i="5"/>
  <c r="E61" i="5"/>
  <c r="E20" i="4"/>
  <c r="G20" i="4" s="1"/>
  <c r="G21" i="4" s="1"/>
  <c r="E30" i="4"/>
  <c r="E41" i="4"/>
  <c r="G41" i="4" s="1"/>
  <c r="G42" i="4" s="1"/>
  <c r="E9" i="4"/>
  <c r="E8" i="4"/>
  <c r="E6" i="4"/>
  <c r="J3" i="3"/>
  <c r="G26" i="3"/>
  <c r="F26" i="3"/>
  <c r="E26" i="3"/>
  <c r="E10" i="4" l="1"/>
  <c r="G10" i="4" s="1"/>
  <c r="G11" i="4" s="1"/>
  <c r="F60" i="5"/>
  <c r="G30" i="4"/>
  <c r="G31" i="4" s="1"/>
  <c r="I29" i="4"/>
  <c r="I68" i="5"/>
  <c r="F61" i="5"/>
  <c r="F63" i="5"/>
  <c r="J70" i="5"/>
  <c r="I70" i="5"/>
  <c r="F72" i="5" l="1"/>
  <c r="F45" i="4"/>
  <c r="L29" i="6" s="1"/>
  <c r="I71" i="5"/>
  <c r="J71" i="5"/>
  <c r="J69" i="5"/>
  <c r="I69" i="5"/>
  <c r="J68" i="5"/>
  <c r="G72" i="5"/>
  <c r="H29" i="6" l="1"/>
  <c r="D29" i="6"/>
  <c r="G29" i="6"/>
  <c r="K29" i="6"/>
  <c r="N29" i="6"/>
  <c r="J29" i="6"/>
  <c r="M29" i="6"/>
  <c r="E29" i="6"/>
  <c r="C29" i="6"/>
  <c r="F29" i="6"/>
  <c r="I29" i="6"/>
  <c r="I72" i="5"/>
  <c r="J72" i="5"/>
  <c r="J34" i="1"/>
  <c r="J33" i="1"/>
  <c r="J32" i="1"/>
  <c r="K26" i="1"/>
  <c r="K25" i="1"/>
  <c r="K24" i="1"/>
  <c r="K23" i="1"/>
  <c r="K22" i="1"/>
  <c r="K21" i="1"/>
  <c r="K20" i="1"/>
  <c r="K19" i="1"/>
  <c r="K16" i="1"/>
  <c r="K15" i="1"/>
  <c r="K14" i="1"/>
  <c r="K13" i="1"/>
  <c r="K12" i="1"/>
  <c r="K11" i="1"/>
  <c r="K10" i="1"/>
  <c r="K9" i="1"/>
  <c r="K8" i="1"/>
  <c r="K7" i="1"/>
  <c r="E35" i="1"/>
  <c r="C17" i="6" l="1"/>
  <c r="D17" i="6" s="1"/>
  <c r="E17" i="6" s="1"/>
  <c r="K17" i="1"/>
  <c r="J41" i="1" s="1"/>
  <c r="K13" i="7"/>
  <c r="L13" i="7"/>
  <c r="M13" i="7"/>
  <c r="J13" i="7"/>
  <c r="F13" i="7"/>
  <c r="N13" i="7"/>
  <c r="E13" i="7"/>
  <c r="G13" i="7"/>
  <c r="O13" i="7"/>
  <c r="H13" i="7"/>
  <c r="I13" i="7"/>
  <c r="G7" i="6"/>
  <c r="D7" i="6"/>
  <c r="I7" i="6"/>
  <c r="K7" i="6"/>
  <c r="L7" i="6"/>
  <c r="M7" i="6"/>
  <c r="N7" i="6"/>
  <c r="J7" i="6"/>
  <c r="E7" i="6"/>
  <c r="F7" i="6"/>
  <c r="H7" i="6"/>
  <c r="K27" i="1"/>
  <c r="D35" i="1"/>
  <c r="D13" i="7" s="1"/>
  <c r="E22" i="1"/>
  <c r="E6" i="1"/>
  <c r="E7" i="1"/>
  <c r="E8" i="1"/>
  <c r="E9" i="1"/>
  <c r="E10" i="1"/>
  <c r="E11" i="1"/>
  <c r="E12" i="1"/>
  <c r="E13" i="1"/>
  <c r="E14" i="1"/>
  <c r="E5" i="1"/>
  <c r="D8" i="7" l="1"/>
  <c r="D9" i="7" s="1"/>
  <c r="D57" i="7" s="1"/>
  <c r="F57" i="7" s="1"/>
  <c r="K28" i="1"/>
  <c r="J42" i="1"/>
  <c r="J31" i="6"/>
  <c r="D31" i="6"/>
  <c r="L31" i="6"/>
  <c r="N31" i="6"/>
  <c r="C31" i="6"/>
  <c r="E31" i="6"/>
  <c r="M31" i="6"/>
  <c r="F31" i="6"/>
  <c r="G31" i="6"/>
  <c r="H31" i="6"/>
  <c r="I31" i="6"/>
  <c r="K31" i="6"/>
  <c r="C7" i="6"/>
  <c r="C20" i="6" s="1"/>
  <c r="O20" i="6" s="1"/>
  <c r="J36" i="1"/>
  <c r="F17" i="6"/>
  <c r="E15" i="1"/>
  <c r="D5" i="2"/>
  <c r="E4" i="2"/>
  <c r="F4" i="2" s="1"/>
  <c r="F5" i="2" l="1"/>
  <c r="D27" i="1" s="1"/>
  <c r="D28" i="1" s="1"/>
  <c r="E5" i="2"/>
  <c r="G17" i="6"/>
  <c r="K14" i="7" l="1"/>
  <c r="G14" i="7"/>
  <c r="L14" i="7"/>
  <c r="H14" i="7"/>
  <c r="M14" i="7"/>
  <c r="D14" i="7"/>
  <c r="I14" i="7" s="1"/>
  <c r="E14" i="7"/>
  <c r="N14" i="7"/>
  <c r="F14" i="7"/>
  <c r="J14" i="7"/>
  <c r="O14" i="7" s="1"/>
  <c r="H17" i="6"/>
  <c r="F21" i="6"/>
  <c r="N21" i="6"/>
  <c r="C21" i="6"/>
  <c r="J21" i="6"/>
  <c r="D21" i="6"/>
  <c r="E21" i="6"/>
  <c r="G21" i="6"/>
  <c r="I21" i="6"/>
  <c r="K21" i="6"/>
  <c r="L21" i="6"/>
  <c r="M21" i="6"/>
  <c r="H21" i="6"/>
  <c r="J30" i="6"/>
  <c r="J32" i="6" s="1"/>
  <c r="J6" i="6" s="1"/>
  <c r="J11" i="6" s="1"/>
  <c r="K30" i="6"/>
  <c r="K32" i="6" s="1"/>
  <c r="K6" i="6" s="1"/>
  <c r="M30" i="6"/>
  <c r="M32" i="6" s="1"/>
  <c r="M6" i="6" s="1"/>
  <c r="N30" i="6"/>
  <c r="N32" i="6" s="1"/>
  <c r="N6" i="6" s="1"/>
  <c r="C30" i="6"/>
  <c r="C32" i="6" s="1"/>
  <c r="C6" i="6" s="1"/>
  <c r="H30" i="6"/>
  <c r="H32" i="6" s="1"/>
  <c r="H6" i="6" s="1"/>
  <c r="D30" i="6"/>
  <c r="D32" i="6" s="1"/>
  <c r="D6" i="6" s="1"/>
  <c r="L30" i="6"/>
  <c r="L32" i="6" s="1"/>
  <c r="L6" i="6" s="1"/>
  <c r="L11" i="6" s="1"/>
  <c r="E30" i="6"/>
  <c r="E32" i="6" s="1"/>
  <c r="E6" i="6" s="1"/>
  <c r="E11" i="6" s="1"/>
  <c r="F30" i="6"/>
  <c r="F32" i="6" s="1"/>
  <c r="F6" i="6" s="1"/>
  <c r="G30" i="6"/>
  <c r="G32" i="6" s="1"/>
  <c r="G6" i="6" s="1"/>
  <c r="I30" i="6"/>
  <c r="I32" i="6" s="1"/>
  <c r="I6" i="6" s="1"/>
  <c r="J8" i="6"/>
  <c r="D8" i="6"/>
  <c r="L8" i="6"/>
  <c r="F8" i="6"/>
  <c r="H8" i="6"/>
  <c r="I8" i="6"/>
  <c r="K8" i="6"/>
  <c r="E8" i="6"/>
  <c r="M8" i="6"/>
  <c r="N8" i="6"/>
  <c r="G8" i="6"/>
  <c r="C8" i="6"/>
  <c r="J35" i="1"/>
  <c r="J37" i="1" s="1"/>
  <c r="J43" i="1" s="1"/>
  <c r="J44" i="1" s="1"/>
  <c r="F11" i="6" l="1"/>
  <c r="K11" i="6"/>
  <c r="D11" i="6"/>
  <c r="C11" i="7"/>
  <c r="D42" i="1"/>
  <c r="D40" i="1" s="1"/>
  <c r="O21" i="6"/>
  <c r="H11" i="6"/>
  <c r="C11" i="6"/>
  <c r="I18" i="6"/>
  <c r="J12" i="7" s="1"/>
  <c r="J15" i="7" s="1"/>
  <c r="J63" i="7" s="1"/>
  <c r="L63" i="7" s="1"/>
  <c r="J18" i="6"/>
  <c r="K12" i="7" s="1"/>
  <c r="K15" i="7" s="1"/>
  <c r="J64" i="7" s="1"/>
  <c r="L64" i="7" s="1"/>
  <c r="G18" i="6"/>
  <c r="H18" i="6"/>
  <c r="I12" i="7" s="1"/>
  <c r="I15" i="7" s="1"/>
  <c r="J62" i="7" s="1"/>
  <c r="L62" i="7" s="1"/>
  <c r="F18" i="6"/>
  <c r="K18" i="6"/>
  <c r="L12" i="7" s="1"/>
  <c r="L15" i="7" s="1"/>
  <c r="J65" i="7" s="1"/>
  <c r="L65" i="7" s="1"/>
  <c r="D18" i="6"/>
  <c r="L18" i="6"/>
  <c r="M12" i="7" s="1"/>
  <c r="M15" i="7" s="1"/>
  <c r="J66" i="7" s="1"/>
  <c r="L66" i="7" s="1"/>
  <c r="E18" i="6"/>
  <c r="M18" i="6"/>
  <c r="N12" i="7" s="1"/>
  <c r="N15" i="7" s="1"/>
  <c r="J67" i="7" s="1"/>
  <c r="L67" i="7" s="1"/>
  <c r="N18" i="6"/>
  <c r="O12" i="7" s="1"/>
  <c r="O15" i="7" s="1"/>
  <c r="J68" i="7" s="1"/>
  <c r="L68" i="7" s="1"/>
  <c r="C18" i="6"/>
  <c r="D12" i="7" s="1"/>
  <c r="D15" i="7" s="1"/>
  <c r="I11" i="6"/>
  <c r="N11" i="6"/>
  <c r="I17" i="6"/>
  <c r="G11" i="6"/>
  <c r="M11" i="6"/>
  <c r="H19" i="6" l="1"/>
  <c r="H22" i="6" s="1"/>
  <c r="H24" i="6" s="1"/>
  <c r="H25" i="6" s="1"/>
  <c r="H26" i="6" s="1"/>
  <c r="D19" i="6"/>
  <c r="D22" i="6" s="1"/>
  <c r="D24" i="6" s="1"/>
  <c r="D25" i="6" s="1"/>
  <c r="D26" i="6" s="1"/>
  <c r="E12" i="7"/>
  <c r="E15" i="7" s="1"/>
  <c r="J58" i="7" s="1"/>
  <c r="L58" i="7" s="1"/>
  <c r="F19" i="6"/>
  <c r="F22" i="6" s="1"/>
  <c r="F24" i="6" s="1"/>
  <c r="F25" i="6" s="1"/>
  <c r="F26" i="6" s="1"/>
  <c r="G12" i="7"/>
  <c r="G15" i="7" s="1"/>
  <c r="J60" i="7" s="1"/>
  <c r="L60" i="7" s="1"/>
  <c r="G19" i="6"/>
  <c r="G22" i="6" s="1"/>
  <c r="G24" i="6" s="1"/>
  <c r="G25" i="6" s="1"/>
  <c r="G26" i="6" s="1"/>
  <c r="H12" i="7"/>
  <c r="H15" i="7" s="1"/>
  <c r="J61" i="7" s="1"/>
  <c r="L61" i="7" s="1"/>
  <c r="E19" i="6"/>
  <c r="E22" i="6" s="1"/>
  <c r="E24" i="6" s="1"/>
  <c r="E25" i="6" s="1"/>
  <c r="E26" i="6" s="1"/>
  <c r="F12" i="7"/>
  <c r="F15" i="7" s="1"/>
  <c r="J59" i="7" s="1"/>
  <c r="L59" i="7" s="1"/>
  <c r="J57" i="7"/>
  <c r="L57" i="7" s="1"/>
  <c r="D17" i="7"/>
  <c r="I19" i="6"/>
  <c r="I22" i="6" s="1"/>
  <c r="I24" i="6" s="1"/>
  <c r="I25" i="6" s="1"/>
  <c r="I26" i="6" s="1"/>
  <c r="J17" i="6"/>
  <c r="O18" i="6"/>
  <c r="C19" i="6"/>
  <c r="C22" i="6" s="1"/>
  <c r="C24" i="6" s="1"/>
  <c r="C25" i="6" s="1"/>
  <c r="C26" i="6" s="1"/>
  <c r="D24" i="7" l="1"/>
  <c r="E40" i="7"/>
  <c r="D22" i="7"/>
  <c r="L69" i="7"/>
  <c r="J19" i="6"/>
  <c r="J22" i="6" s="1"/>
  <c r="J24" i="6" s="1"/>
  <c r="J25" i="6" s="1"/>
  <c r="J26" i="6" s="1"/>
  <c r="K17" i="6"/>
  <c r="K40" i="7" l="1"/>
  <c r="E8" i="7"/>
  <c r="E9" i="7" s="1"/>
  <c r="D31" i="7"/>
  <c r="F40" i="7"/>
  <c r="K19" i="6"/>
  <c r="K22" i="6" s="1"/>
  <c r="K24" i="6" s="1"/>
  <c r="K25" i="6" s="1"/>
  <c r="K26" i="6" s="1"/>
  <c r="L17" i="6"/>
  <c r="D58" i="7" l="1"/>
  <c r="F58" i="7" s="1"/>
  <c r="E17" i="7"/>
  <c r="L40" i="7"/>
  <c r="M17" i="6"/>
  <c r="L19" i="6"/>
  <c r="L22" i="6" s="1"/>
  <c r="L24" i="6" s="1"/>
  <c r="L25" i="6" s="1"/>
  <c r="L26" i="6" s="1"/>
  <c r="E41" i="7" l="1"/>
  <c r="E22" i="7"/>
  <c r="E24" i="7"/>
  <c r="M19" i="6"/>
  <c r="N17" i="6"/>
  <c r="F41" i="7" l="1"/>
  <c r="K41" i="7"/>
  <c r="E31" i="7"/>
  <c r="F8" i="7"/>
  <c r="F9" i="7" s="1"/>
  <c r="N19" i="6"/>
  <c r="N22" i="6" s="1"/>
  <c r="N24" i="6" s="1"/>
  <c r="N25" i="6" s="1"/>
  <c r="N26" i="6" s="1"/>
  <c r="O17" i="6"/>
  <c r="M22" i="6"/>
  <c r="L41" i="7" l="1"/>
  <c r="D59" i="7"/>
  <c r="F59" i="7" s="1"/>
  <c r="F17" i="7"/>
  <c r="O19" i="6"/>
  <c r="M24" i="6"/>
  <c r="O22" i="6"/>
  <c r="F22" i="7" l="1"/>
  <c r="E42" i="7"/>
  <c r="F24" i="7"/>
  <c r="M25" i="6"/>
  <c r="M26" i="6" s="1"/>
  <c r="O26" i="6" s="1"/>
  <c r="O24" i="6"/>
  <c r="O25" i="6" s="1"/>
  <c r="F42" i="7" l="1"/>
  <c r="F31" i="7"/>
  <c r="K42" i="7"/>
  <c r="G8" i="7"/>
  <c r="G9" i="7" s="1"/>
  <c r="L42" i="7" l="1"/>
  <c r="D60" i="7"/>
  <c r="F60" i="7" s="1"/>
  <c r="G17" i="7"/>
  <c r="G22" i="7" l="1"/>
  <c r="E43" i="7"/>
  <c r="G24" i="7"/>
  <c r="F43" i="7" l="1"/>
  <c r="G31" i="7"/>
  <c r="H8" i="7"/>
  <c r="H9" i="7" s="1"/>
  <c r="K43" i="7"/>
  <c r="D61" i="7" l="1"/>
  <c r="F61" i="7" s="1"/>
  <c r="H17" i="7"/>
  <c r="L43" i="7"/>
  <c r="H22" i="7" l="1"/>
  <c r="E44" i="7"/>
  <c r="H24" i="7"/>
  <c r="F44" i="7" l="1"/>
  <c r="I8" i="7"/>
  <c r="I9" i="7" s="1"/>
  <c r="H31" i="7"/>
  <c r="K44" i="7"/>
  <c r="D62" i="7" l="1"/>
  <c r="F62" i="7" s="1"/>
  <c r="I17" i="7"/>
  <c r="L44" i="7"/>
  <c r="I22" i="7" l="1"/>
  <c r="E45" i="7"/>
  <c r="F45" i="7" s="1"/>
  <c r="I24" i="7"/>
  <c r="K45" i="7" l="1"/>
  <c r="L45" i="7" s="1"/>
  <c r="I31" i="7"/>
  <c r="J8" i="7"/>
  <c r="J9" i="7" s="1"/>
  <c r="D63" i="7" l="1"/>
  <c r="F63" i="7" s="1"/>
  <c r="J17" i="7"/>
  <c r="E46" i="7" l="1"/>
  <c r="F46" i="7" s="1"/>
  <c r="J22" i="7"/>
  <c r="J24" i="7"/>
  <c r="K46" i="7" l="1"/>
  <c r="L46" i="7" s="1"/>
  <c r="J31" i="7"/>
  <c r="K8" i="7"/>
  <c r="K9" i="7" s="1"/>
  <c r="D64" i="7" l="1"/>
  <c r="F64" i="7" s="1"/>
  <c r="K17" i="7"/>
  <c r="E47" i="7" l="1"/>
  <c r="F47" i="7" s="1"/>
  <c r="K22" i="7"/>
  <c r="K24" i="7"/>
  <c r="L8" i="7" l="1"/>
  <c r="L9" i="7" s="1"/>
  <c r="K47" i="7"/>
  <c r="L47" i="7" s="1"/>
  <c r="K31" i="7"/>
  <c r="D65" i="7" l="1"/>
  <c r="F65" i="7" s="1"/>
  <c r="L17" i="7"/>
  <c r="L22" i="7" l="1"/>
  <c r="E48" i="7"/>
  <c r="F48" i="7" s="1"/>
  <c r="L24" i="7"/>
  <c r="K48" i="7" l="1"/>
  <c r="L48" i="7" s="1"/>
  <c r="M8" i="7"/>
  <c r="M9" i="7" s="1"/>
  <c r="L31" i="7"/>
  <c r="D66" i="7" l="1"/>
  <c r="F66" i="7" s="1"/>
  <c r="M17" i="7"/>
  <c r="E49" i="7" l="1"/>
  <c r="F49" i="7" s="1"/>
  <c r="M22" i="7"/>
  <c r="M24" i="7"/>
  <c r="N8" i="7" l="1"/>
  <c r="N9" i="7" s="1"/>
  <c r="M31" i="7"/>
  <c r="K49" i="7"/>
  <c r="L49" i="7" s="1"/>
  <c r="D67" i="7" l="1"/>
  <c r="F67" i="7" s="1"/>
  <c r="N17" i="7"/>
  <c r="E50" i="7" l="1"/>
  <c r="F50" i="7" s="1"/>
  <c r="N22" i="7"/>
  <c r="N24" i="7"/>
  <c r="K50" i="7" l="1"/>
  <c r="L50" i="7" s="1"/>
  <c r="N31" i="7"/>
  <c r="O8" i="7"/>
  <c r="O9" i="7" s="1"/>
  <c r="D68" i="7" l="1"/>
  <c r="F68" i="7" s="1"/>
  <c r="F69" i="7" s="1"/>
  <c r="G71" i="7" s="1"/>
  <c r="O17" i="7"/>
  <c r="O22" i="7" l="1"/>
  <c r="O31" i="7" s="1"/>
  <c r="E33" i="7" s="1"/>
  <c r="E51" i="7"/>
  <c r="O24" i="7"/>
  <c r="E35" i="7" l="1"/>
  <c r="F33" i="7"/>
  <c r="K51" i="7"/>
  <c r="E28" i="7"/>
  <c r="F28" i="7" s="1"/>
  <c r="E26" i="7"/>
  <c r="F26" i="7" s="1"/>
  <c r="F51" i="7"/>
  <c r="F52" i="7" s="1"/>
  <c r="F54" i="7"/>
  <c r="L51" i="7" l="1"/>
  <c r="L52" i="7" s="1"/>
  <c r="L54" i="7"/>
</calcChain>
</file>

<file path=xl/sharedStrings.xml><?xml version="1.0" encoding="utf-8"?>
<sst xmlns="http://schemas.openxmlformats.org/spreadsheetml/2006/main" count="361" uniqueCount="188">
  <si>
    <t>DESCRIPCION</t>
  </si>
  <si>
    <t>CANTIDAD</t>
  </si>
  <si>
    <t>SUELDO MES</t>
  </si>
  <si>
    <t>APORTACION</t>
  </si>
  <si>
    <t>SUELDO MES TOTAL</t>
  </si>
  <si>
    <t>ADMINISTRADOR</t>
  </si>
  <si>
    <t>TOTAL PLANILLA</t>
  </si>
  <si>
    <t>APORTES A PAGAR</t>
  </si>
  <si>
    <t>%</t>
  </si>
  <si>
    <t>AFP PRIMA</t>
  </si>
  <si>
    <t>ESSALUD</t>
  </si>
  <si>
    <t>INVERSION INICIAL</t>
  </si>
  <si>
    <t>Cámara fotográfica</t>
  </si>
  <si>
    <t>Filmadora</t>
  </si>
  <si>
    <t>laptos</t>
  </si>
  <si>
    <t>Impresora</t>
  </si>
  <si>
    <t>Escritorios</t>
  </si>
  <si>
    <t>Sillas</t>
  </si>
  <si>
    <t>Botiquínes</t>
  </si>
  <si>
    <t>Articulos de oficina</t>
  </si>
  <si>
    <t>TOTAL</t>
  </si>
  <si>
    <t>Televisor LCd</t>
  </si>
  <si>
    <t>DVD</t>
  </si>
  <si>
    <t>COSTOS FIJOS</t>
  </si>
  <si>
    <t>Alquiler local</t>
  </si>
  <si>
    <t xml:space="preserve">Luz y Agua </t>
  </si>
  <si>
    <t>Internet y Telefono</t>
  </si>
  <si>
    <t>RECURSOS HUMANOS</t>
  </si>
  <si>
    <t>Administrador</t>
  </si>
  <si>
    <t>PUBLICIDAD y MARKETING</t>
  </si>
  <si>
    <t>Volantes</t>
  </si>
  <si>
    <t>Spot Radial</t>
  </si>
  <si>
    <t>Tarjetas de presentacion</t>
  </si>
  <si>
    <t>ACTIVO FIJO TANGIBLE</t>
  </si>
  <si>
    <t>ACTIVO FIJO INTANGIBLE</t>
  </si>
  <si>
    <t>Separación de nombre</t>
  </si>
  <si>
    <t>Elaboración de estatuto</t>
  </si>
  <si>
    <t>Notaria</t>
  </si>
  <si>
    <t>Inscripción de registros públicos</t>
  </si>
  <si>
    <t>Sunat (gratuito)</t>
  </si>
  <si>
    <t>Autorización de funcionamiento</t>
  </si>
  <si>
    <t>Defensa civil</t>
  </si>
  <si>
    <t>Pagina Web</t>
  </si>
  <si>
    <t>TOTAL ACTIVO FIJO TANGIBLE + INTAGIBLE</t>
  </si>
  <si>
    <t>CAPITAL DE TRABAJO</t>
  </si>
  <si>
    <t xml:space="preserve">Sueldo y/o Salarios  RR.HH </t>
  </si>
  <si>
    <t>Publicidad  y Marketing</t>
  </si>
  <si>
    <t>Internet + Telefono</t>
  </si>
  <si>
    <t xml:space="preserve">INVERSION TOTAL REQUERIDA </t>
  </si>
  <si>
    <t>ACTIVO  FIJO TANGIBLE</t>
  </si>
  <si>
    <t>ACTIVO  FIJO INTANGIBLE</t>
  </si>
  <si>
    <t>PRESTAMO</t>
  </si>
  <si>
    <t>Monto</t>
  </si>
  <si>
    <t>Plazo</t>
  </si>
  <si>
    <t>Cuota</t>
  </si>
  <si>
    <t>CRONOGRAMA DE PAGOS</t>
  </si>
  <si>
    <t>MES</t>
  </si>
  <si>
    <t>SALDO</t>
  </si>
  <si>
    <t>AMORTIZACIÓN</t>
  </si>
  <si>
    <t>INTERES</t>
  </si>
  <si>
    <t>CUOTA</t>
  </si>
  <si>
    <t>FINANCIAMIENTO PROPIO</t>
  </si>
  <si>
    <t>FINANCIAMIENTO FINANCIERO</t>
  </si>
  <si>
    <t>SEMANAL</t>
  </si>
  <si>
    <t>MENSUAL</t>
  </si>
  <si>
    <t>DESCRICPION</t>
  </si>
  <si>
    <t xml:space="preserve">Cata y Degustacion </t>
  </si>
  <si>
    <t>Transporte - Combustible</t>
  </si>
  <si>
    <t>RUTA DEL PISCO MOQUEGUANO 6 Hrs S/.</t>
  </si>
  <si>
    <t>Visita Guiada a los Lugares mas reconocidos de Moquegua</t>
  </si>
  <si>
    <t>Visita Guiada a los Lugares mas representativos de Torata</t>
  </si>
  <si>
    <t>Break (Empanadas)</t>
  </si>
  <si>
    <t>Desayuno (Pan con Palta - Queso + Quaker - Mate)</t>
  </si>
  <si>
    <t>Almuerso</t>
  </si>
  <si>
    <t>Prestamo</t>
  </si>
  <si>
    <t>PRECIO DE VENTA DEL PRODUCTO</t>
  </si>
  <si>
    <t>MARGEN DE CONTRIBUCION</t>
  </si>
  <si>
    <t>PUNTO DE EQUILIBRIO</t>
  </si>
  <si>
    <t>VENTA MENSUAL (PAQUETES TURISTICOS)</t>
  </si>
  <si>
    <t>VENTA SEMANAL (PAQUETES TURISTICOS)</t>
  </si>
  <si>
    <t>P.V.</t>
  </si>
  <si>
    <t>VENTAS ESPERADAS MENSUALES</t>
  </si>
  <si>
    <t>VENTAS ESPERADAS SEMANALES</t>
  </si>
  <si>
    <t>COSTOS FIJOS MENSUALES</t>
  </si>
  <si>
    <t>PRESUPUESTO DE GASTOS</t>
  </si>
  <si>
    <t>CONCEPTO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</si>
  <si>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</si>
  <si>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</si>
  <si>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</si>
  <si>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</si>
  <si>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</si>
  <si>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</si>
  <si>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</si>
  <si>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</si>
  <si>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</si>
  <si>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</si>
  <si>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</si>
  <si>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</si>
  <si>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Costos de producción (1)</t>
  </si>
  <si>
    <t>VALOR DE VENTA</t>
  </si>
  <si>
    <t>Gastos de ventas</t>
  </si>
  <si>
    <t>Gastos administrativos (2)</t>
  </si>
  <si>
    <t>Gastos financieros</t>
  </si>
  <si>
    <t>ESTADO DE PÉRDIDAS Y GANANCIAS</t>
  </si>
  <si>
    <t>TOTAL ANUAL</t>
  </si>
  <si>
    <t>Ingresos</t>
  </si>
  <si>
    <t>Costos de producción</t>
  </si>
  <si>
    <t>UTILIDAD BRUTA</t>
  </si>
  <si>
    <t>Gastos administrativos</t>
  </si>
  <si>
    <t>UTILIDAD DE OPERACIÓN</t>
  </si>
  <si>
    <t>UTILIDAD ANTES DE IMPUESTOS</t>
  </si>
  <si>
    <t>Impuesto a la Renta</t>
  </si>
  <si>
    <t>UTILIDAD NETA</t>
  </si>
  <si>
    <t>INSUMOS MATERIALES MENSUALES</t>
  </si>
  <si>
    <t>COSTOS DE PRODUCCION</t>
  </si>
  <si>
    <t>TEA</t>
  </si>
  <si>
    <t>FLUJO DE CAJA PROYECTADO EN NUEVOS SOLES</t>
  </si>
  <si>
    <t>ENERO - DICIEMBRE 2017</t>
  </si>
  <si>
    <t>INGRESOS</t>
  </si>
  <si>
    <t>INGRESOS VENTAS</t>
  </si>
  <si>
    <t>TOTAL DE INGRESOS</t>
  </si>
  <si>
    <t>EGRESOS</t>
  </si>
  <si>
    <t>TOTAL EGRESOS</t>
  </si>
  <si>
    <t>FLUJO DE CAJA OPERATIVO</t>
  </si>
  <si>
    <t>CREDITO</t>
  </si>
  <si>
    <t>Amortización</t>
  </si>
  <si>
    <t>Intereses</t>
  </si>
  <si>
    <t>TOTAL DE DEUDAS</t>
  </si>
  <si>
    <t>FLUJO DE CAJA FINANCIERO</t>
  </si>
  <si>
    <t>MOQUEGUA TOUR´S</t>
  </si>
  <si>
    <t>VAN</t>
  </si>
  <si>
    <t>TIRE</t>
  </si>
  <si>
    <t>TIRF</t>
  </si>
  <si>
    <t>I (mensual) =</t>
  </si>
  <si>
    <t>MESES</t>
  </si>
  <si>
    <t>FLUJO OPE</t>
  </si>
  <si>
    <t>TIR</t>
  </si>
  <si>
    <t>FLUJO CAJA</t>
  </si>
  <si>
    <t>VANF</t>
  </si>
  <si>
    <t>C/B</t>
  </si>
  <si>
    <t>INGRESO</t>
  </si>
  <si>
    <t>INGRESO ACTUALIZADO</t>
  </si>
  <si>
    <t>EGRESO</t>
  </si>
  <si>
    <t>EGRESO ACTUALIZADO</t>
  </si>
  <si>
    <t>ES VIABLE</t>
  </si>
  <si>
    <t>RELACION COSTO BENEFICIO</t>
  </si>
  <si>
    <t>Inversion Propia</t>
  </si>
  <si>
    <t>ESTRUCTURA DE LA INVERSION</t>
  </si>
  <si>
    <t>UND.</t>
  </si>
  <si>
    <t>P. UNITARIO</t>
  </si>
  <si>
    <t>P. TOTAL</t>
  </si>
  <si>
    <t>TOTAL FIJO TANGIBLE S/.</t>
  </si>
  <si>
    <t>TOTAL FIJO INTANGIBLE S/.</t>
  </si>
  <si>
    <t>TOTAL CT S/.</t>
  </si>
  <si>
    <t>TOTAL S/.</t>
  </si>
  <si>
    <t>DETALLE DE LA INVERSION</t>
  </si>
  <si>
    <t>IMPORTE S/.</t>
  </si>
  <si>
    <t>Inversion Financiera</t>
  </si>
  <si>
    <t>TOTAL INVERSION S/.</t>
  </si>
  <si>
    <t>TOTAL INVERSION INICIAL S/.</t>
  </si>
  <si>
    <t>PAQUETE POR PERSONA</t>
  </si>
  <si>
    <t>TORATA LUGAR DE HISTORIA 5 Hrs S/.</t>
  </si>
  <si>
    <t>TIXANI UN LUGAR POR DESCUBRIR 1 DIA S/.</t>
  </si>
  <si>
    <t>TOTAL C FIJOS S/.</t>
  </si>
  <si>
    <t>Ruta del Pisco Moqueguano S/.</t>
  </si>
  <si>
    <t>Descubre Moquegua S/.</t>
  </si>
  <si>
    <t>Torata Lugar de Historia S/.</t>
  </si>
  <si>
    <t>Tixani un Lugar Por Descubrir S/.</t>
  </si>
  <si>
    <t>INVERSION TOTAL</t>
  </si>
  <si>
    <t xml:space="preserve">Sueldo RR.HH </t>
  </si>
  <si>
    <t>MONTO</t>
  </si>
  <si>
    <t>PLAZO</t>
  </si>
  <si>
    <t>SEG DESG</t>
  </si>
  <si>
    <t>TEM</t>
  </si>
  <si>
    <t>TEM SEG DES</t>
  </si>
  <si>
    <t>TEM TOTAL</t>
  </si>
  <si>
    <t>AMORT.</t>
  </si>
  <si>
    <t>entrada museo</t>
  </si>
  <si>
    <t>DESCUBRE MOQUEGUA 3 Hrs S/.</t>
  </si>
  <si>
    <t xml:space="preserve"> Foto grupal de recuerdo</t>
  </si>
  <si>
    <t>costo semanal</t>
  </si>
  <si>
    <t>Mes</t>
  </si>
  <si>
    <t xml:space="preserve">PRECIO POR PERSONA </t>
  </si>
  <si>
    <t>S/. 75.00</t>
  </si>
  <si>
    <t>Foto grupal de recuerdo</t>
  </si>
  <si>
    <t>S/. 85.00</t>
  </si>
  <si>
    <t>S/. 150.00</t>
  </si>
  <si>
    <t>Desayuno (Pan con Palta o Queso + Quaker o Mate)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</si>
</sst>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&quot;$&quot;* #,##0.00_-;\-&quot;$&quot;* #,##0.00_-;_-&quot;$&quot;* &quot;-&quot;??_-;_-@_-"/>
    <numFmt numFmtId="164" formatCode="&quot;S/.&quot;\ #,##0.00;[Red]&quot;S/.&quot;\ \-#,##0.00"/>
    <numFmt numFmtId="165" formatCode="_ * #,##0.00_ ;_ * \-#,##0.00_ ;_ * &quot;-&quot;??_ ;_ @_ "/>
    <numFmt numFmtId="166" formatCode="&quot;S/.&quot;\ #,##0.00"/>
    <numFmt numFmtId="167" formatCode="0.000"/>
    <numFmt numFmtId="168" formatCode="0.0"/>
    <numFmt numFmtId="169" formatCode="0.000%"/>
    <numFmt numFmtId="170" formatCode="_-[$S/.-280A]* #,##0.00_-;\-[$S/.-280A]* #,##0.00_-;_-[$S/.-280A]* &quot;-&quot;??_-;_-@_-"/>
    <numFmt numFmtId="171" formatCode="[$S/.-280A]#,##0.00"/>
    <numFmt numFmtId="172" formatCode="_ &quot;S/.&quot;\ * #,##0_ ;_ &quot;S/.&quot;\ * \-#,##0_ ;_ &quot;S/.&quot;\ * &quot;-&quot;??_ ;_ @_ "/>
    <numFmt numFmtId="173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 Narrow"/>
      <family val="2"/>
    </font>
    <font>
      <b/>
      <sz val="10.5"/>
      <color rgb="FF002060"/>
      <name val="Arial Narrow"/>
      <family val="2"/>
    </font>
    <font>
      <sz val="10.5"/>
      <color rgb="FF002060"/>
      <name val="Arial Narrow"/>
      <family val="2"/>
    </font>
    <font>
      <sz val="11"/>
      <color rgb="FF002060"/>
      <name val="Calibri"/>
      <family val="2"/>
      <scheme val="minor"/>
    </font>
    <font>
      <b/>
      <i/>
      <sz val="12"/>
      <color rgb="FF002060"/>
      <name val="Book Antiqua"/>
      <family val="1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rgb="FFFFB19F"/>
        <bgColor indexed="64"/>
      </patternFill>
    </fill>
    <fill>
      <patternFill patternType="solid">
        <fgColor rgb="FFE4C9FF"/>
        <bgColor indexed="64"/>
      </patternFill>
    </fill>
    <fill>
      <patternFill patternType="solid">
        <fgColor rgb="FFD9D9FF"/>
        <bgColor indexed="64"/>
      </patternFill>
    </fill>
    <fill>
      <patternFill patternType="solid">
        <fgColor rgb="FFD9F1FF"/>
        <bgColor indexed="64"/>
      </patternFill>
    </fill>
    <fill>
      <patternFill patternType="solid">
        <fgColor rgb="FFFFC6B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1C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5400A8"/>
      </left>
      <right style="medium">
        <color rgb="FF5400A8"/>
      </right>
      <top style="medium">
        <color rgb="FF5400A8"/>
      </top>
      <bottom style="medium">
        <color rgb="FF5400A8"/>
      </bottom>
      <diagonal/>
    </border>
    <border>
      <left style="medium">
        <color rgb="FF5400A8"/>
      </left>
      <right/>
      <top style="medium">
        <color rgb="FF5400A8"/>
      </top>
      <bottom style="medium">
        <color rgb="FF5400A8"/>
      </bottom>
      <diagonal/>
    </border>
    <border>
      <left style="medium">
        <color rgb="FF5400A8"/>
      </left>
      <right style="medium">
        <color rgb="FF5400A8"/>
      </right>
      <top style="medium">
        <color rgb="FF5400A8"/>
      </top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double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double">
        <color rgb="FFFF0000"/>
      </bottom>
      <diagonal/>
    </border>
    <border>
      <left style="medium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/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double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double">
        <color rgb="FFFF0000"/>
      </bottom>
      <diagonal/>
    </border>
    <border>
      <left style="medium">
        <color rgb="FFFF0000"/>
      </left>
      <right style="thin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rgb="FFFF0000"/>
      </left>
      <right style="medium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 style="double">
        <color rgb="FF002060"/>
      </bottom>
      <diagonal/>
    </border>
    <border>
      <left style="medium">
        <color rgb="FF002060"/>
      </left>
      <right/>
      <top/>
      <bottom style="double">
        <color rgb="FF002060"/>
      </bottom>
      <diagonal/>
    </border>
    <border>
      <left style="medium">
        <color rgb="FF002060"/>
      </left>
      <right style="medium">
        <color rgb="FF002060"/>
      </right>
      <top/>
      <bottom style="double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double">
        <color rgb="FF002060"/>
      </bottom>
      <diagonal/>
    </border>
    <border>
      <left/>
      <right/>
      <top/>
      <bottom style="double">
        <color rgb="FF002060"/>
      </bottom>
      <diagonal/>
    </border>
    <border>
      <left style="medium">
        <color rgb="FF002060"/>
      </left>
      <right/>
      <top style="medium">
        <color rgb="FF002060"/>
      </top>
      <bottom style="double">
        <color rgb="FF002060"/>
      </bottom>
      <diagonal/>
    </border>
    <border>
      <left/>
      <right/>
      <top style="medium">
        <color rgb="FF002060"/>
      </top>
      <bottom style="double">
        <color rgb="FF002060"/>
      </bottom>
      <diagonal/>
    </border>
    <border>
      <left/>
      <right style="medium">
        <color rgb="FF002060"/>
      </right>
      <top style="medium">
        <color rgb="FF002060"/>
      </top>
      <bottom style="double">
        <color rgb="FF002060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2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2" fontId="4" fillId="0" borderId="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2" fontId="4" fillId="0" borderId="6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2" fontId="3" fillId="7" borderId="6" xfId="0" applyNumberFormat="1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2" fontId="3" fillId="7" borderId="3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/>
    <xf numFmtId="2" fontId="4" fillId="0" borderId="3" xfId="0" applyNumberFormat="1" applyFont="1" applyFill="1" applyBorder="1" applyAlignment="1">
      <alignment vertical="center"/>
    </xf>
    <xf numFmtId="0" fontId="3" fillId="7" borderId="3" xfId="0" applyFont="1" applyFill="1" applyBorder="1" applyAlignment="1">
      <alignment horizontal="center" vertical="center" wrapText="1"/>
    </xf>
    <xf numFmtId="2" fontId="3" fillId="7" borderId="3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166" fontId="4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7" fontId="4" fillId="0" borderId="7" xfId="0" applyNumberFormat="1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 wrapText="1"/>
    </xf>
    <xf numFmtId="166" fontId="3" fillId="7" borderId="7" xfId="0" applyNumberFormat="1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2" fontId="4" fillId="0" borderId="10" xfId="0" applyNumberFormat="1" applyFont="1" applyFill="1" applyBorder="1" applyAlignment="1">
      <alignment horizontal="center" vertical="center"/>
    </xf>
    <xf numFmtId="169" fontId="4" fillId="0" borderId="10" xfId="2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vertical="center"/>
    </xf>
    <xf numFmtId="0" fontId="3" fillId="7" borderId="10" xfId="0" applyFont="1" applyFill="1" applyBorder="1" applyAlignment="1">
      <alignment horizontal="center" vertical="center"/>
    </xf>
    <xf numFmtId="168" fontId="3" fillId="7" borderId="10" xfId="0" applyNumberFormat="1" applyFont="1" applyFill="1" applyBorder="1" applyAlignment="1">
      <alignment horizontal="center" vertical="center"/>
    </xf>
    <xf numFmtId="2" fontId="3" fillId="7" borderId="1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3" fillId="3" borderId="11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2" fontId="4" fillId="3" borderId="11" xfId="0" applyNumberFormat="1" applyFont="1" applyFill="1" applyBorder="1" applyAlignment="1">
      <alignment horizontal="center" vertical="center"/>
    </xf>
    <xf numFmtId="2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0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3" fillId="6" borderId="10" xfId="0" applyNumberFormat="1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" fontId="3" fillId="7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2" fontId="3" fillId="5" borderId="10" xfId="0" applyNumberFormat="1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4" fillId="5" borderId="10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0" fontId="4" fillId="0" borderId="10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9" fontId="4" fillId="0" borderId="10" xfId="2" applyFont="1" applyBorder="1" applyAlignment="1">
      <alignment horizontal="center" vertical="center"/>
    </xf>
    <xf numFmtId="170" fontId="3" fillId="0" borderId="10" xfId="0" applyNumberFormat="1" applyFont="1" applyBorder="1" applyAlignment="1">
      <alignment horizontal="center" vertical="center"/>
    </xf>
    <xf numFmtId="171" fontId="3" fillId="7" borderId="10" xfId="0" applyNumberFormat="1" applyFont="1" applyFill="1" applyBorder="1" applyAlignment="1">
      <alignment horizontal="center" vertical="center"/>
    </xf>
    <xf numFmtId="170" fontId="3" fillId="7" borderId="10" xfId="3" applyNumberFormat="1" applyFont="1" applyFill="1" applyBorder="1" applyAlignment="1">
      <alignment horizontal="center" vertical="center"/>
    </xf>
    <xf numFmtId="9" fontId="3" fillId="6" borderId="10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2" fontId="3" fillId="4" borderId="10" xfId="0" applyNumberFormat="1" applyFont="1" applyFill="1" applyBorder="1" applyAlignment="1">
      <alignment horizontal="center" vertical="center"/>
    </xf>
    <xf numFmtId="9" fontId="4" fillId="0" borderId="0" xfId="2" applyFont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2" fontId="4" fillId="8" borderId="10" xfId="0" applyNumberFormat="1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 applyFill="1" applyBorder="1" applyAlignment="1"/>
    <xf numFmtId="0" fontId="7" fillId="0" borderId="0" xfId="0" applyFont="1" applyFill="1"/>
    <xf numFmtId="0" fontId="8" fillId="0" borderId="1" xfId="0" applyFont="1" applyFill="1" applyBorder="1"/>
    <xf numFmtId="172" fontId="8" fillId="0" borderId="1" xfId="3" applyNumberFormat="1" applyFont="1" applyFill="1" applyBorder="1"/>
    <xf numFmtId="0" fontId="8" fillId="0" borderId="0" xfId="0" applyFont="1" applyFill="1" applyBorder="1"/>
    <xf numFmtId="0" fontId="8" fillId="0" borderId="0" xfId="0" applyFont="1" applyFill="1"/>
    <xf numFmtId="169" fontId="8" fillId="0" borderId="1" xfId="2" applyNumberFormat="1" applyFont="1" applyFill="1" applyBorder="1"/>
    <xf numFmtId="0" fontId="9" fillId="0" borderId="0" xfId="0" applyFont="1" applyFill="1" applyBorder="1"/>
    <xf numFmtId="0" fontId="8" fillId="0" borderId="1" xfId="0" applyNumberFormat="1" applyFont="1" applyFill="1" applyBorder="1"/>
    <xf numFmtId="1" fontId="8" fillId="0" borderId="0" xfId="0" applyNumberFormat="1" applyFont="1" applyFill="1"/>
    <xf numFmtId="0" fontId="8" fillId="0" borderId="1" xfId="2" applyNumberFormat="1" applyFont="1" applyFill="1" applyBorder="1"/>
    <xf numFmtId="2" fontId="8" fillId="0" borderId="1" xfId="0" applyNumberFormat="1" applyFont="1" applyFill="1" applyBorder="1"/>
    <xf numFmtId="2" fontId="9" fillId="0" borderId="0" xfId="0" applyNumberFormat="1" applyFont="1" applyFill="1" applyBorder="1"/>
    <xf numFmtId="167" fontId="8" fillId="0" borderId="1" xfId="0" applyNumberFormat="1" applyFont="1" applyFill="1" applyBorder="1"/>
    <xf numFmtId="167" fontId="9" fillId="0" borderId="0" xfId="0" applyNumberFormat="1" applyFont="1" applyFill="1" applyBorder="1"/>
    <xf numFmtId="173" fontId="8" fillId="0" borderId="1" xfId="2" applyNumberFormat="1" applyFont="1" applyFill="1" applyBorder="1"/>
    <xf numFmtId="173" fontId="9" fillId="0" borderId="0" xfId="0" applyNumberFormat="1" applyFont="1" applyFill="1" applyBorder="1"/>
    <xf numFmtId="2" fontId="8" fillId="0" borderId="0" xfId="0" applyNumberFormat="1" applyFont="1" applyFill="1" applyBorder="1"/>
    <xf numFmtId="0" fontId="8" fillId="0" borderId="0" xfId="0" applyFont="1" applyFill="1" applyAlignment="1">
      <alignment horizontal="left"/>
    </xf>
    <xf numFmtId="0" fontId="8" fillId="9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0" fillId="0" borderId="0" xfId="0" applyNumberFormat="1"/>
    <xf numFmtId="2" fontId="8" fillId="0" borderId="22" xfId="0" applyNumberFormat="1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/>
    </xf>
    <xf numFmtId="2" fontId="4" fillId="0" borderId="28" xfId="0" applyNumberFormat="1" applyFont="1" applyFill="1" applyBorder="1" applyAlignment="1">
      <alignment horizontal="center" vertical="center"/>
    </xf>
    <xf numFmtId="2" fontId="3" fillId="7" borderId="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2" xfId="0" applyFont="1" applyBorder="1" applyAlignment="1">
      <alignment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4" fillId="0" borderId="39" xfId="0" applyFont="1" applyBorder="1" applyAlignment="1">
      <alignment vertical="center" wrapText="1"/>
    </xf>
    <xf numFmtId="0" fontId="3" fillId="10" borderId="44" xfId="0" applyFont="1" applyFill="1" applyBorder="1" applyAlignment="1">
      <alignment horizontal="center" vertical="center"/>
    </xf>
    <xf numFmtId="0" fontId="3" fillId="10" borderId="45" xfId="0" applyFont="1" applyFill="1" applyBorder="1" applyAlignment="1">
      <alignment horizontal="center" vertical="center" wrapText="1"/>
    </xf>
    <xf numFmtId="0" fontId="3" fillId="10" borderId="46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center" vertical="center"/>
    </xf>
    <xf numFmtId="2" fontId="4" fillId="0" borderId="31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left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left" vertical="center" wrapText="1"/>
    </xf>
    <xf numFmtId="2" fontId="4" fillId="0" borderId="47" xfId="0" applyNumberFormat="1" applyFont="1" applyFill="1" applyBorder="1" applyAlignment="1">
      <alignment horizontal="center" vertical="center" wrapText="1"/>
    </xf>
    <xf numFmtId="2" fontId="4" fillId="0" borderId="21" xfId="0" applyNumberFormat="1" applyFont="1" applyFill="1" applyBorder="1" applyAlignment="1">
      <alignment horizontal="center" vertical="center"/>
    </xf>
    <xf numFmtId="2" fontId="4" fillId="0" borderId="20" xfId="0" applyNumberFormat="1" applyFont="1" applyFill="1" applyBorder="1" applyAlignment="1">
      <alignment horizontal="center" vertical="center" wrapText="1"/>
    </xf>
    <xf numFmtId="2" fontId="4" fillId="0" borderId="30" xfId="0" applyNumberFormat="1" applyFont="1" applyFill="1" applyBorder="1" applyAlignment="1">
      <alignment horizontal="center" vertical="center" wrapText="1"/>
    </xf>
    <xf numFmtId="2" fontId="4" fillId="0" borderId="47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2" fontId="4" fillId="0" borderId="30" xfId="0" applyNumberFormat="1" applyFont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left" vertical="center" wrapText="1"/>
    </xf>
    <xf numFmtId="2" fontId="4" fillId="0" borderId="51" xfId="0" applyNumberFormat="1" applyFont="1" applyFill="1" applyBorder="1" applyAlignment="1">
      <alignment horizontal="center" vertical="center" wrapText="1"/>
    </xf>
    <xf numFmtId="2" fontId="3" fillId="7" borderId="49" xfId="0" applyNumberFormat="1" applyFont="1" applyFill="1" applyBorder="1" applyAlignment="1">
      <alignment horizontal="center" vertical="center"/>
    </xf>
    <xf numFmtId="2" fontId="4" fillId="0" borderId="53" xfId="0" applyNumberFormat="1" applyFont="1" applyFill="1" applyBorder="1" applyAlignment="1">
      <alignment horizontal="center" vertical="center" wrapText="1"/>
    </xf>
    <xf numFmtId="0" fontId="4" fillId="0" borderId="47" xfId="0" applyFont="1" applyBorder="1" applyAlignment="1">
      <alignment vertical="center" wrapText="1"/>
    </xf>
    <xf numFmtId="2" fontId="4" fillId="0" borderId="20" xfId="0" applyNumberFormat="1" applyFont="1" applyBorder="1" applyAlignment="1">
      <alignment horizontal="center" vertical="center"/>
    </xf>
    <xf numFmtId="2" fontId="4" fillId="0" borderId="47" xfId="0" applyNumberFormat="1" applyFont="1" applyBorder="1" applyAlignment="1">
      <alignment horizontal="center" vertical="center"/>
    </xf>
    <xf numFmtId="0" fontId="3" fillId="7" borderId="51" xfId="0" applyFont="1" applyFill="1" applyBorder="1" applyAlignment="1">
      <alignment horizontal="center" vertical="center"/>
    </xf>
    <xf numFmtId="0" fontId="3" fillId="7" borderId="51" xfId="0" applyFont="1" applyFill="1" applyBorder="1" applyAlignment="1">
      <alignment horizontal="center" vertical="center" wrapText="1"/>
    </xf>
    <xf numFmtId="2" fontId="3" fillId="7" borderId="52" xfId="0" applyNumberFormat="1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3" fillId="7" borderId="54" xfId="0" applyFont="1" applyFill="1" applyBorder="1" applyAlignment="1">
      <alignment horizontal="center" vertical="center"/>
    </xf>
    <xf numFmtId="0" fontId="3" fillId="7" borderId="55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 wrapText="1"/>
    </xf>
    <xf numFmtId="2" fontId="4" fillId="0" borderId="29" xfId="0" applyNumberFormat="1" applyFont="1" applyFill="1" applyBorder="1" applyAlignment="1">
      <alignment horizontal="center" vertical="center"/>
    </xf>
    <xf numFmtId="2" fontId="4" fillId="0" borderId="30" xfId="0" applyNumberFormat="1" applyFont="1" applyFill="1" applyBorder="1" applyAlignment="1">
      <alignment horizontal="center" vertical="center"/>
    </xf>
    <xf numFmtId="2" fontId="4" fillId="0" borderId="31" xfId="0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/>
    </xf>
    <xf numFmtId="0" fontId="3" fillId="10" borderId="41" xfId="0" applyFont="1" applyFill="1" applyBorder="1" applyAlignment="1">
      <alignment horizontal="center" vertical="center"/>
    </xf>
    <xf numFmtId="0" fontId="3" fillId="10" borderId="42" xfId="0" applyFont="1" applyFill="1" applyBorder="1" applyAlignment="1">
      <alignment horizontal="center" vertical="center"/>
    </xf>
    <xf numFmtId="0" fontId="3" fillId="10" borderId="43" xfId="0" applyFont="1" applyFill="1" applyBorder="1" applyAlignment="1">
      <alignment horizontal="center" vertical="center"/>
    </xf>
    <xf numFmtId="2" fontId="4" fillId="0" borderId="40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</cellXfs>
  <cellStyles count="4">
    <cellStyle name="Millares 2" xfId="1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C1C1"/>
      <color rgb="FF5400A8"/>
      <color rgb="FFFFC6B9"/>
      <color rgb="FFFFB19F"/>
      <color rgb="FFD9F1FF"/>
      <color rgb="FFD9D9FF"/>
      <color rgb="FFE4C9FF"/>
      <color rgb="FFFF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723902</xdr:colOff>
      <xdr:row>38</xdr:row>
      <xdr:rowOff>44448</xdr:rowOff>
    </xdr:from>
    <xdr:to>
      <xdr:col>13</xdr:col>
      <xdr:colOff>384178</xdr:colOff>
      <xdr:row>51</xdr:row>
      <xdr:rowOff>25399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370" t="13413" r="8918" b="52989"/>
        <a:stretch/>
      </xdr:blipFill>
      <xdr:spPr>
        <a:xfrm>
          <a:off x="723902" y="7481886"/>
          <a:ext cx="11018839" cy="2457451"/>
        </a:xfrm>
        <a:prstGeom prst="rect">
          <a:avLst/>
        </a:prstGeom>
      </xdr:spPr>
    </xdr:pic>
    <xdr:clientData/>
  </xdr:twoCellAnchor>
  <xdr:twoCellAnchor editAs="oneCell">
    <xdr:from>
      <xdr:col>8</xdr:col>
      <xdr:colOff>15875</xdr:colOff>
      <xdr:row>7</xdr:row>
      <xdr:rowOff>9525</xdr:rowOff>
    </xdr:from>
    <xdr:to>
      <xdr:col>21</xdr:col>
      <xdr:colOff>53975</xdr:colOff>
      <xdr:row>37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223" t="9116" r="8480" b="8973"/>
        <a:stretch/>
      </xdr:blipFill>
      <xdr:spPr>
        <a:xfrm>
          <a:off x="6413500" y="1398588"/>
          <a:ext cx="11095038" cy="5991225"/>
        </a:xfrm>
        <a:prstGeom prst="rect">
          <a:avLst/>
        </a:prstGeom>
      </xdr:spPr>
    </xdr:pic>
    <xdr:clientData/>
  </xdr:twoCellAnchor>
  <xdr:twoCellAnchor editAs="oneCell">
    <xdr:from>
      <xdr:col>0</xdr:col>
      <xdr:colOff>230187</xdr:colOff>
      <xdr:row>26</xdr:row>
      <xdr:rowOff>103187</xdr:rowOff>
    </xdr:from>
    <xdr:to>
      <xdr:col>3</xdr:col>
      <xdr:colOff>587375</xdr:colOff>
      <xdr:row>38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1ABE75A-FA42-41B6-B0D2-02FD0CBBB9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2844" t="27401" r="24518" b="41652"/>
        <a:stretch/>
      </xdr:blipFill>
      <xdr:spPr>
        <a:xfrm>
          <a:off x="230187" y="5254625"/>
          <a:ext cx="2706688" cy="22304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561976</xdr:colOff>
      <xdr:row>2</xdr:row>
      <xdr:rowOff>123825</xdr:rowOff>
    </xdr:from>
    <xdr:to>
      <xdr:col>7</xdr:col>
      <xdr:colOff>657226</xdr:colOff>
      <xdr:row>11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4DEEF70-8AE6-4733-9648-968AD1EFAF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688" t="27967" r="78122" b="55827"/>
        <a:stretch/>
      </xdr:blipFill>
      <xdr:spPr>
        <a:xfrm>
          <a:off x="2847976" y="504825"/>
          <a:ext cx="3143250" cy="1666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zoomScale="120" zoomScaleNormal="120" workbookViewId="0">
      <selection activeCell="C49" sqref="C49"/>
    </sheetView>
  </sheetViews>
  <sheetFormatPr baseColWidth="10" defaultRowHeight="15" x14ac:dyDescent="0.25"/>
  <cols>
    <col min="1" max="1" width="11.42578125" style="18"/>
    <col min="2" max="2" width="4.85546875" style="18" bestFit="1" customWidth="1"/>
    <col min="3" max="3" width="26.85546875" style="18" customWidth="1"/>
    <col min="4" max="4" width="10.7109375" style="18" bestFit="1" customWidth="1"/>
    <col min="5" max="5" width="8.42578125" style="18" bestFit="1" customWidth="1"/>
    <col min="6" max="7" width="11.42578125" style="18"/>
    <col min="8" max="8" width="6.7109375" style="18" customWidth="1"/>
    <col min="9" max="9" width="24.7109375" style="18" customWidth="1"/>
    <col min="10" max="10" width="10.7109375" style="18" bestFit="1" customWidth="1"/>
    <col min="11" max="11" width="8.42578125" style="18" bestFit="1" customWidth="1"/>
    <col min="12" max="12" width="11.42578125" style="18"/>
    <col min="13" max="14" width="11.42578125" style="20"/>
    <col min="15" max="17" width="11.42578125" style="3"/>
  </cols>
  <sheetData>
    <row r="1" spans="1:17" s="1" customForma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2"/>
      <c r="P1" s="2"/>
      <c r="Q1" s="2"/>
    </row>
    <row r="2" spans="1:17" s="1" customFormat="1" ht="15.75" thickBot="1" x14ac:dyDescent="0.3">
      <c r="A2" s="18"/>
      <c r="B2" s="18"/>
      <c r="C2" s="1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2"/>
      <c r="P2" s="2"/>
      <c r="Q2" s="2"/>
    </row>
    <row r="3" spans="1:17" s="1" customFormat="1" ht="15.75" thickBot="1" x14ac:dyDescent="0.3">
      <c r="A3" s="18"/>
      <c r="B3" s="186" t="s">
        <v>11</v>
      </c>
      <c r="C3" s="186"/>
      <c r="D3" s="186"/>
      <c r="E3" s="186"/>
      <c r="F3" s="18"/>
      <c r="G3" s="18"/>
      <c r="H3" s="191" t="s">
        <v>147</v>
      </c>
      <c r="I3" s="191"/>
      <c r="J3" s="191"/>
      <c r="K3" s="191"/>
      <c r="L3" s="18"/>
      <c r="M3" s="18"/>
      <c r="N3" s="18"/>
      <c r="O3" s="2"/>
      <c r="P3" s="2"/>
      <c r="Q3" s="2"/>
    </row>
    <row r="4" spans="1:17" s="1" customFormat="1" ht="15.75" thickBot="1" x14ac:dyDescent="0.3">
      <c r="A4" s="18"/>
      <c r="B4" s="22" t="s">
        <v>148</v>
      </c>
      <c r="C4" s="16" t="s">
        <v>0</v>
      </c>
      <c r="D4" s="16" t="s">
        <v>149</v>
      </c>
      <c r="E4" s="16" t="s">
        <v>150</v>
      </c>
      <c r="F4" s="18"/>
      <c r="G4" s="18"/>
      <c r="H4" s="191" t="s">
        <v>33</v>
      </c>
      <c r="I4" s="191"/>
      <c r="J4" s="191"/>
      <c r="K4" s="191"/>
      <c r="L4" s="18"/>
      <c r="M4" s="18"/>
      <c r="N4" s="18"/>
      <c r="O4" s="2"/>
      <c r="P4" s="2"/>
      <c r="Q4" s="2"/>
    </row>
    <row r="5" spans="1:17" s="1" customFormat="1" ht="15.75" thickBot="1" x14ac:dyDescent="0.3">
      <c r="A5" s="18"/>
      <c r="B5" s="10">
        <v>1</v>
      </c>
      <c r="C5" s="19" t="s">
        <v>21</v>
      </c>
      <c r="D5" s="4">
        <v>1500</v>
      </c>
      <c r="E5" s="4">
        <f>D5*B5</f>
        <v>1500</v>
      </c>
      <c r="F5" s="18"/>
      <c r="G5" s="18"/>
      <c r="H5" s="191" t="s">
        <v>11</v>
      </c>
      <c r="I5" s="191"/>
      <c r="J5" s="191"/>
      <c r="K5" s="191"/>
      <c r="L5" s="18"/>
      <c r="M5" s="18"/>
      <c r="N5" s="18"/>
      <c r="O5" s="2"/>
      <c r="P5" s="2"/>
      <c r="Q5" s="2"/>
    </row>
    <row r="6" spans="1:17" s="1" customFormat="1" ht="15.75" thickBot="1" x14ac:dyDescent="0.3">
      <c r="A6" s="18"/>
      <c r="B6" s="10">
        <v>1</v>
      </c>
      <c r="C6" s="19" t="s">
        <v>22</v>
      </c>
      <c r="D6" s="4">
        <v>100</v>
      </c>
      <c r="E6" s="4">
        <f t="shared" ref="E6:E14" si="0">D6*B6</f>
        <v>100</v>
      </c>
      <c r="F6" s="18"/>
      <c r="G6" s="18"/>
      <c r="H6" s="24" t="s">
        <v>148</v>
      </c>
      <c r="I6" s="25" t="s">
        <v>0</v>
      </c>
      <c r="J6" s="25" t="s">
        <v>149</v>
      </c>
      <c r="K6" s="25" t="s">
        <v>150</v>
      </c>
      <c r="L6" s="18"/>
      <c r="M6" s="18"/>
      <c r="N6" s="18"/>
      <c r="O6" s="2"/>
      <c r="P6" s="2"/>
      <c r="Q6" s="2"/>
    </row>
    <row r="7" spans="1:17" s="1" customFormat="1" ht="15.75" thickBot="1" x14ac:dyDescent="0.3">
      <c r="A7" s="18"/>
      <c r="B7" s="10">
        <v>2</v>
      </c>
      <c r="C7" s="19" t="s">
        <v>12</v>
      </c>
      <c r="D7" s="4">
        <v>700</v>
      </c>
      <c r="E7" s="4">
        <f t="shared" si="0"/>
        <v>1400</v>
      </c>
      <c r="F7" s="18"/>
      <c r="G7" s="18"/>
      <c r="H7" s="7">
        <v>1</v>
      </c>
      <c r="I7" s="8" t="s">
        <v>21</v>
      </c>
      <c r="J7" s="9">
        <v>1500</v>
      </c>
      <c r="K7" s="9">
        <f>J7*H7</f>
        <v>1500</v>
      </c>
      <c r="L7" s="18"/>
      <c r="M7" s="18"/>
      <c r="N7" s="18"/>
      <c r="O7" s="2"/>
      <c r="P7" s="2"/>
      <c r="Q7" s="2"/>
    </row>
    <row r="8" spans="1:17" s="1" customFormat="1" ht="15.75" thickBot="1" x14ac:dyDescent="0.3">
      <c r="A8" s="18"/>
      <c r="B8" s="10">
        <v>1</v>
      </c>
      <c r="C8" s="19" t="s">
        <v>13</v>
      </c>
      <c r="D8" s="4">
        <v>1500</v>
      </c>
      <c r="E8" s="4">
        <f t="shared" si="0"/>
        <v>1500</v>
      </c>
      <c r="F8" s="18"/>
      <c r="G8" s="18"/>
      <c r="H8" s="7">
        <v>1</v>
      </c>
      <c r="I8" s="8" t="s">
        <v>22</v>
      </c>
      <c r="J8" s="9">
        <v>100</v>
      </c>
      <c r="K8" s="9">
        <f t="shared" ref="K8:K16" si="1">J8*H8</f>
        <v>100</v>
      </c>
      <c r="L8" s="18"/>
      <c r="M8" s="18"/>
      <c r="N8" s="18"/>
      <c r="O8" s="2"/>
      <c r="P8" s="2"/>
      <c r="Q8" s="2"/>
    </row>
    <row r="9" spans="1:17" s="1" customFormat="1" ht="15.75" thickBot="1" x14ac:dyDescent="0.3">
      <c r="A9" s="18"/>
      <c r="B9" s="10">
        <v>1</v>
      </c>
      <c r="C9" s="19" t="s">
        <v>14</v>
      </c>
      <c r="D9" s="4">
        <v>1500</v>
      </c>
      <c r="E9" s="4">
        <f t="shared" si="0"/>
        <v>1500</v>
      </c>
      <c r="F9" s="18"/>
      <c r="G9" s="18"/>
      <c r="H9" s="7">
        <v>2</v>
      </c>
      <c r="I9" s="8" t="s">
        <v>12</v>
      </c>
      <c r="J9" s="9">
        <v>700</v>
      </c>
      <c r="K9" s="9">
        <f t="shared" si="1"/>
        <v>1400</v>
      </c>
      <c r="L9" s="18"/>
      <c r="M9" s="18"/>
      <c r="N9" s="18"/>
      <c r="O9" s="2"/>
      <c r="P9" s="2"/>
      <c r="Q9" s="2"/>
    </row>
    <row r="10" spans="1:17" s="1" customFormat="1" ht="15.75" thickBot="1" x14ac:dyDescent="0.3">
      <c r="A10" s="18"/>
      <c r="B10" s="10">
        <v>1</v>
      </c>
      <c r="C10" s="19" t="s">
        <v>15</v>
      </c>
      <c r="D10" s="4">
        <v>200</v>
      </c>
      <c r="E10" s="4">
        <f t="shared" si="0"/>
        <v>200</v>
      </c>
      <c r="F10" s="18"/>
      <c r="G10" s="18"/>
      <c r="H10" s="7">
        <v>1</v>
      </c>
      <c r="I10" s="8" t="s">
        <v>13</v>
      </c>
      <c r="J10" s="9">
        <v>1500</v>
      </c>
      <c r="K10" s="9">
        <f t="shared" si="1"/>
        <v>1500</v>
      </c>
      <c r="L10" s="18"/>
      <c r="M10" s="18"/>
      <c r="N10" s="18"/>
      <c r="O10" s="2"/>
      <c r="P10" s="2"/>
      <c r="Q10" s="2"/>
    </row>
    <row r="11" spans="1:17" s="1" customFormat="1" ht="15.75" thickBot="1" x14ac:dyDescent="0.3">
      <c r="A11" s="18"/>
      <c r="B11" s="10">
        <v>2</v>
      </c>
      <c r="C11" s="19" t="s">
        <v>16</v>
      </c>
      <c r="D11" s="4">
        <v>200</v>
      </c>
      <c r="E11" s="4">
        <f t="shared" si="0"/>
        <v>400</v>
      </c>
      <c r="F11" s="18"/>
      <c r="G11" s="18"/>
      <c r="H11" s="7">
        <v>1</v>
      </c>
      <c r="I11" s="8" t="s">
        <v>14</v>
      </c>
      <c r="J11" s="9">
        <v>1500</v>
      </c>
      <c r="K11" s="9">
        <f t="shared" si="1"/>
        <v>1500</v>
      </c>
      <c r="L11" s="18"/>
      <c r="M11" s="18"/>
      <c r="N11" s="18"/>
      <c r="O11" s="2"/>
      <c r="P11" s="2"/>
      <c r="Q11" s="2"/>
    </row>
    <row r="12" spans="1:17" s="1" customFormat="1" ht="15.75" thickBot="1" x14ac:dyDescent="0.3">
      <c r="A12" s="18"/>
      <c r="B12" s="10">
        <v>5</v>
      </c>
      <c r="C12" s="19" t="s">
        <v>17</v>
      </c>
      <c r="D12" s="4">
        <v>100</v>
      </c>
      <c r="E12" s="4">
        <f t="shared" si="0"/>
        <v>500</v>
      </c>
      <c r="F12" s="18"/>
      <c r="G12" s="18"/>
      <c r="H12" s="7">
        <v>1</v>
      </c>
      <c r="I12" s="8" t="s">
        <v>15</v>
      </c>
      <c r="J12" s="9">
        <v>200</v>
      </c>
      <c r="K12" s="9">
        <f t="shared" si="1"/>
        <v>200</v>
      </c>
      <c r="L12" s="18"/>
      <c r="M12" s="18"/>
      <c r="N12" s="18"/>
      <c r="O12" s="2"/>
      <c r="P12" s="2"/>
      <c r="Q12" s="2"/>
    </row>
    <row r="13" spans="1:17" s="1" customFormat="1" ht="15.75" thickBot="1" x14ac:dyDescent="0.3">
      <c r="A13" s="18"/>
      <c r="B13" s="10">
        <v>3</v>
      </c>
      <c r="C13" s="19" t="s">
        <v>18</v>
      </c>
      <c r="D13" s="4">
        <v>40</v>
      </c>
      <c r="E13" s="4">
        <f t="shared" si="0"/>
        <v>120</v>
      </c>
      <c r="F13" s="18"/>
      <c r="G13" s="18"/>
      <c r="H13" s="7">
        <v>2</v>
      </c>
      <c r="I13" s="8" t="s">
        <v>16</v>
      </c>
      <c r="J13" s="9">
        <v>200</v>
      </c>
      <c r="K13" s="9">
        <f t="shared" si="1"/>
        <v>400</v>
      </c>
      <c r="L13" s="18"/>
      <c r="M13" s="18"/>
      <c r="N13" s="18"/>
      <c r="O13" s="2"/>
      <c r="P13" s="2"/>
      <c r="Q13" s="2"/>
    </row>
    <row r="14" spans="1:17" s="1" customFormat="1" ht="15.75" thickBot="1" x14ac:dyDescent="0.3">
      <c r="A14" s="18"/>
      <c r="B14" s="10">
        <v>1</v>
      </c>
      <c r="C14" s="19" t="s">
        <v>19</v>
      </c>
      <c r="D14" s="4">
        <v>200</v>
      </c>
      <c r="E14" s="4">
        <f t="shared" si="0"/>
        <v>200</v>
      </c>
      <c r="F14" s="18"/>
      <c r="G14" s="18"/>
      <c r="H14" s="7">
        <v>5</v>
      </c>
      <c r="I14" s="8" t="s">
        <v>17</v>
      </c>
      <c r="J14" s="9">
        <v>100</v>
      </c>
      <c r="K14" s="9">
        <f t="shared" si="1"/>
        <v>500</v>
      </c>
      <c r="L14" s="18"/>
      <c r="M14" s="18"/>
      <c r="N14" s="18"/>
      <c r="O14" s="2"/>
      <c r="P14" s="2"/>
      <c r="Q14" s="2"/>
    </row>
    <row r="15" spans="1:17" s="1" customFormat="1" ht="15.75" thickBot="1" x14ac:dyDescent="0.3">
      <c r="A15" s="18"/>
      <c r="B15" s="186" t="s">
        <v>159</v>
      </c>
      <c r="C15" s="186"/>
      <c r="D15" s="184"/>
      <c r="E15" s="23">
        <f>SUM(E5:E14)</f>
        <v>7420</v>
      </c>
      <c r="F15" s="18"/>
      <c r="G15" s="18"/>
      <c r="H15" s="7">
        <v>3</v>
      </c>
      <c r="I15" s="8" t="s">
        <v>18</v>
      </c>
      <c r="J15" s="9">
        <v>40</v>
      </c>
      <c r="K15" s="9">
        <f t="shared" si="1"/>
        <v>120</v>
      </c>
      <c r="L15" s="18"/>
      <c r="M15" s="18"/>
      <c r="N15" s="18"/>
      <c r="O15" s="2"/>
      <c r="P15" s="2"/>
      <c r="Q15" s="2"/>
    </row>
    <row r="16" spans="1:17" s="1" customFormat="1" ht="15.75" thickBot="1" x14ac:dyDescent="0.3">
      <c r="A16" s="18"/>
      <c r="B16" s="18"/>
      <c r="C16" s="18"/>
      <c r="D16" s="18"/>
      <c r="E16" s="18"/>
      <c r="F16" s="18"/>
      <c r="G16" s="18"/>
      <c r="H16" s="7">
        <v>1</v>
      </c>
      <c r="I16" s="8" t="s">
        <v>19</v>
      </c>
      <c r="J16" s="9">
        <v>200</v>
      </c>
      <c r="K16" s="9">
        <f t="shared" si="1"/>
        <v>200</v>
      </c>
      <c r="L16" s="18"/>
      <c r="M16" s="18"/>
      <c r="N16" s="18"/>
      <c r="O16" s="2"/>
      <c r="P16" s="2"/>
      <c r="Q16" s="2"/>
    </row>
    <row r="17" spans="1:17" s="1" customFormat="1" ht="15.75" thickBot="1" x14ac:dyDescent="0.3">
      <c r="A17" s="18"/>
      <c r="B17" s="18"/>
      <c r="C17" s="18"/>
      <c r="D17" s="18"/>
      <c r="E17" s="18"/>
      <c r="F17" s="18"/>
      <c r="G17" s="18"/>
      <c r="H17" s="191" t="s">
        <v>151</v>
      </c>
      <c r="I17" s="191"/>
      <c r="J17" s="191"/>
      <c r="K17" s="26">
        <f>SUM(K7:K16)</f>
        <v>7420</v>
      </c>
      <c r="L17" s="18"/>
      <c r="M17" s="18"/>
      <c r="N17" s="18"/>
      <c r="O17" s="2"/>
      <c r="P17" s="2"/>
      <c r="Q17" s="2"/>
    </row>
    <row r="18" spans="1:17" s="1" customFormat="1" ht="15.75" thickBot="1" x14ac:dyDescent="0.3">
      <c r="A18" s="18"/>
      <c r="B18" s="18"/>
      <c r="C18" s="193" t="s">
        <v>23</v>
      </c>
      <c r="D18" s="193"/>
      <c r="E18" s="193"/>
      <c r="F18" s="18"/>
      <c r="G18" s="18"/>
      <c r="H18" s="27"/>
      <c r="I18" s="191" t="s">
        <v>34</v>
      </c>
      <c r="J18" s="191"/>
      <c r="K18" s="191"/>
      <c r="L18" s="18"/>
      <c r="M18" s="18"/>
      <c r="N18" s="18"/>
      <c r="O18" s="2"/>
      <c r="P18" s="2"/>
      <c r="Q18" s="2"/>
    </row>
    <row r="19" spans="1:17" s="1" customFormat="1" ht="15.75" thickBot="1" x14ac:dyDescent="0.3">
      <c r="A19" s="18"/>
      <c r="B19" s="18"/>
      <c r="C19" s="194" t="s">
        <v>24</v>
      </c>
      <c r="D19" s="194"/>
      <c r="E19" s="4">
        <v>300</v>
      </c>
      <c r="F19" s="18"/>
      <c r="G19" s="18"/>
      <c r="H19" s="7">
        <v>1</v>
      </c>
      <c r="I19" s="8" t="s">
        <v>35</v>
      </c>
      <c r="J19" s="9">
        <v>16</v>
      </c>
      <c r="K19" s="9">
        <f>H19*J19</f>
        <v>16</v>
      </c>
      <c r="L19" s="18"/>
      <c r="M19" s="18"/>
      <c r="N19" s="18"/>
      <c r="O19" s="2"/>
      <c r="P19" s="2"/>
      <c r="Q19" s="2"/>
    </row>
    <row r="20" spans="1:17" s="1" customFormat="1" ht="15.75" thickBot="1" x14ac:dyDescent="0.3">
      <c r="A20" s="18"/>
      <c r="B20" s="18"/>
      <c r="C20" s="194" t="s">
        <v>25</v>
      </c>
      <c r="D20" s="194"/>
      <c r="E20" s="4">
        <v>180</v>
      </c>
      <c r="F20" s="18"/>
      <c r="G20" s="18"/>
      <c r="H20" s="7">
        <v>1</v>
      </c>
      <c r="I20" s="8" t="s">
        <v>36</v>
      </c>
      <c r="J20" s="9">
        <v>300</v>
      </c>
      <c r="K20" s="9">
        <f t="shared" ref="K20:K26" si="2">H20*J20</f>
        <v>300</v>
      </c>
      <c r="L20" s="18"/>
      <c r="M20" s="18"/>
      <c r="N20" s="18"/>
      <c r="O20" s="2"/>
      <c r="P20" s="2"/>
      <c r="Q20" s="2"/>
    </row>
    <row r="21" spans="1:17" s="1" customFormat="1" ht="15.75" thickBot="1" x14ac:dyDescent="0.3">
      <c r="A21" s="18"/>
      <c r="B21" s="18"/>
      <c r="C21" s="194" t="s">
        <v>26</v>
      </c>
      <c r="D21" s="194"/>
      <c r="E21" s="4">
        <v>90</v>
      </c>
      <c r="F21" s="18"/>
      <c r="G21" s="18"/>
      <c r="H21" s="7">
        <v>1</v>
      </c>
      <c r="I21" s="8" t="s">
        <v>37</v>
      </c>
      <c r="J21" s="9">
        <v>300</v>
      </c>
      <c r="K21" s="9">
        <f t="shared" si="2"/>
        <v>300</v>
      </c>
      <c r="L21" s="18"/>
      <c r="M21" s="18"/>
      <c r="N21" s="18"/>
      <c r="O21" s="2"/>
      <c r="P21" s="2"/>
      <c r="Q21" s="2"/>
    </row>
    <row r="22" spans="1:17" s="1" customFormat="1" ht="15.75" thickBot="1" x14ac:dyDescent="0.3">
      <c r="A22" s="18"/>
      <c r="B22" s="18"/>
      <c r="C22" s="186" t="s">
        <v>154</v>
      </c>
      <c r="D22" s="186"/>
      <c r="E22" s="23">
        <f>SUM(E19:E21)</f>
        <v>570</v>
      </c>
      <c r="F22" s="18"/>
      <c r="G22" s="18"/>
      <c r="H22" s="7">
        <v>1</v>
      </c>
      <c r="I22" s="8" t="s">
        <v>38</v>
      </c>
      <c r="J22" s="9">
        <v>300</v>
      </c>
      <c r="K22" s="9">
        <f t="shared" si="2"/>
        <v>300</v>
      </c>
      <c r="L22" s="18"/>
      <c r="M22" s="18"/>
      <c r="N22" s="18"/>
      <c r="O22" s="2"/>
      <c r="P22" s="2"/>
      <c r="Q22" s="2"/>
    </row>
    <row r="23" spans="1:17" s="1" customFormat="1" ht="15.75" thickBot="1" x14ac:dyDescent="0.3">
      <c r="A23" s="18"/>
      <c r="B23" s="18"/>
      <c r="C23" s="18"/>
      <c r="D23" s="18"/>
      <c r="E23" s="18"/>
      <c r="F23" s="18"/>
      <c r="G23" s="18"/>
      <c r="H23" s="7">
        <v>1</v>
      </c>
      <c r="I23" s="8" t="s">
        <v>39</v>
      </c>
      <c r="J23" s="9">
        <v>0</v>
      </c>
      <c r="K23" s="9">
        <f t="shared" si="2"/>
        <v>0</v>
      </c>
      <c r="L23" s="18"/>
      <c r="M23" s="18"/>
      <c r="N23" s="18"/>
      <c r="O23" s="2"/>
      <c r="P23" s="2"/>
      <c r="Q23" s="2"/>
    </row>
    <row r="24" spans="1:17" s="1" customFormat="1" ht="15.75" thickBot="1" x14ac:dyDescent="0.3">
      <c r="A24" s="18"/>
      <c r="B24" s="18"/>
      <c r="C24" s="187"/>
      <c r="D24" s="187"/>
      <c r="E24" s="18"/>
      <c r="F24" s="18"/>
      <c r="G24" s="18"/>
      <c r="H24" s="7">
        <v>1</v>
      </c>
      <c r="I24" s="8" t="s">
        <v>40</v>
      </c>
      <c r="J24" s="9">
        <v>400</v>
      </c>
      <c r="K24" s="9">
        <f t="shared" si="2"/>
        <v>400</v>
      </c>
      <c r="L24" s="18"/>
      <c r="M24" s="18"/>
      <c r="N24" s="18"/>
      <c r="O24" s="2"/>
      <c r="P24" s="2"/>
      <c r="Q24" s="2"/>
    </row>
    <row r="25" spans="1:17" s="1" customFormat="1" ht="15.75" thickBot="1" x14ac:dyDescent="0.3">
      <c r="A25" s="18"/>
      <c r="B25" s="18"/>
      <c r="C25" s="135"/>
      <c r="D25" s="136"/>
      <c r="E25" s="18"/>
      <c r="F25" s="18"/>
      <c r="G25" s="18"/>
      <c r="H25" s="7">
        <v>1</v>
      </c>
      <c r="I25" s="8" t="s">
        <v>41</v>
      </c>
      <c r="J25" s="9">
        <v>200</v>
      </c>
      <c r="K25" s="9">
        <f t="shared" si="2"/>
        <v>200</v>
      </c>
      <c r="L25" s="18"/>
      <c r="M25" s="18"/>
      <c r="N25" s="18"/>
      <c r="O25" s="2"/>
      <c r="P25" s="2"/>
      <c r="Q25" s="2"/>
    </row>
    <row r="26" spans="1:17" s="1" customFormat="1" ht="15.75" thickBot="1" x14ac:dyDescent="0.3">
      <c r="A26" s="18"/>
      <c r="B26" s="18"/>
      <c r="C26" s="195" t="s">
        <v>27</v>
      </c>
      <c r="D26" s="196"/>
      <c r="E26" s="18"/>
      <c r="F26" s="18"/>
      <c r="G26" s="18"/>
      <c r="H26" s="7">
        <v>1</v>
      </c>
      <c r="I26" s="8" t="s">
        <v>42</v>
      </c>
      <c r="J26" s="9">
        <v>200</v>
      </c>
      <c r="K26" s="9">
        <f t="shared" si="2"/>
        <v>200</v>
      </c>
      <c r="L26" s="18"/>
      <c r="M26" s="18"/>
      <c r="N26" s="18"/>
      <c r="O26" s="2"/>
      <c r="P26" s="2"/>
      <c r="Q26" s="2"/>
    </row>
    <row r="27" spans="1:17" s="1" customFormat="1" ht="15.75" thickBot="1" x14ac:dyDescent="0.3">
      <c r="A27" s="18"/>
      <c r="B27" s="18"/>
      <c r="C27" s="137" t="s">
        <v>28</v>
      </c>
      <c r="D27" s="138">
        <f>PLANILLA!F5</f>
        <v>1210</v>
      </c>
      <c r="E27" s="18"/>
      <c r="F27" s="18"/>
      <c r="G27" s="18"/>
      <c r="H27" s="191" t="s">
        <v>152</v>
      </c>
      <c r="I27" s="191"/>
      <c r="J27" s="191"/>
      <c r="K27" s="26">
        <f>SUM(K19:K26)</f>
        <v>1716</v>
      </c>
      <c r="L27" s="18"/>
      <c r="M27" s="18"/>
      <c r="N27" s="18"/>
      <c r="O27" s="2"/>
      <c r="P27" s="2"/>
      <c r="Q27" s="2"/>
    </row>
    <row r="28" spans="1:17" s="1" customFormat="1" ht="15.75" thickBot="1" x14ac:dyDescent="0.3">
      <c r="A28" s="18"/>
      <c r="B28" s="18"/>
      <c r="C28" s="133" t="s">
        <v>154</v>
      </c>
      <c r="D28" s="139">
        <f>SUM(D25:D27)</f>
        <v>1210</v>
      </c>
      <c r="E28" s="18"/>
      <c r="F28" s="18"/>
      <c r="G28" s="18"/>
      <c r="H28" s="191" t="s">
        <v>43</v>
      </c>
      <c r="I28" s="191"/>
      <c r="J28" s="191"/>
      <c r="K28" s="26">
        <f>K17+K27</f>
        <v>9136</v>
      </c>
      <c r="L28" s="18"/>
      <c r="M28" s="18"/>
      <c r="N28" s="18"/>
      <c r="O28" s="2"/>
      <c r="P28" s="2"/>
      <c r="Q28" s="2"/>
    </row>
    <row r="29" spans="1:17" s="1" customFormat="1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2"/>
      <c r="P29" s="2"/>
      <c r="Q29" s="2"/>
    </row>
    <row r="30" spans="1:17" s="1" customFormat="1" ht="15.75" thickBot="1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2"/>
      <c r="P30" s="2"/>
      <c r="Q30" s="2"/>
    </row>
    <row r="31" spans="1:17" s="1" customFormat="1" ht="15.75" customHeight="1" thickBot="1" x14ac:dyDescent="0.3">
      <c r="A31" s="18"/>
      <c r="B31" s="188" t="s">
        <v>29</v>
      </c>
      <c r="C31" s="189"/>
      <c r="D31" s="190"/>
      <c r="E31" s="11"/>
      <c r="F31" s="18"/>
      <c r="G31" s="18"/>
      <c r="H31" s="181" t="s">
        <v>44</v>
      </c>
      <c r="I31" s="181"/>
      <c r="J31" s="181"/>
      <c r="K31" s="18"/>
      <c r="L31" s="18"/>
      <c r="M31" s="18"/>
      <c r="N31" s="18"/>
      <c r="O31" s="2"/>
      <c r="P31" s="2"/>
      <c r="Q31" s="2"/>
    </row>
    <row r="32" spans="1:17" ht="15.75" thickBot="1" x14ac:dyDescent="0.3">
      <c r="B32" s="182" t="s">
        <v>32</v>
      </c>
      <c r="C32" s="183"/>
      <c r="D32" s="4">
        <v>90</v>
      </c>
      <c r="E32" s="11"/>
      <c r="H32" s="192" t="s">
        <v>24</v>
      </c>
      <c r="I32" s="192"/>
      <c r="J32" s="12">
        <f>E19</f>
        <v>300</v>
      </c>
    </row>
    <row r="33" spans="2:10" ht="15.75" thickBot="1" x14ac:dyDescent="0.3">
      <c r="B33" s="182" t="s">
        <v>30</v>
      </c>
      <c r="C33" s="183"/>
      <c r="D33" s="4">
        <v>70</v>
      </c>
      <c r="E33" s="11"/>
      <c r="H33" s="192" t="s">
        <v>25</v>
      </c>
      <c r="I33" s="192"/>
      <c r="J33" s="12">
        <f>E20</f>
        <v>180</v>
      </c>
    </row>
    <row r="34" spans="2:10" ht="15.75" thickBot="1" x14ac:dyDescent="0.3">
      <c r="B34" s="182" t="s">
        <v>31</v>
      </c>
      <c r="C34" s="183"/>
      <c r="D34" s="4">
        <v>150</v>
      </c>
      <c r="E34" s="11"/>
      <c r="H34" s="192" t="s">
        <v>47</v>
      </c>
      <c r="I34" s="192"/>
      <c r="J34" s="12">
        <f>E21</f>
        <v>90</v>
      </c>
    </row>
    <row r="35" spans="2:10" ht="15.75" thickBot="1" x14ac:dyDescent="0.3">
      <c r="B35" s="184" t="s">
        <v>154</v>
      </c>
      <c r="C35" s="185"/>
      <c r="D35" s="23">
        <f>SUM(D32:D34)</f>
        <v>310</v>
      </c>
      <c r="E35" s="13">
        <f>D33+D34</f>
        <v>220</v>
      </c>
      <c r="H35" s="192" t="s">
        <v>169</v>
      </c>
      <c r="I35" s="192"/>
      <c r="J35" s="12">
        <f>D28</f>
        <v>1210</v>
      </c>
    </row>
    <row r="36" spans="2:10" ht="15.75" thickBot="1" x14ac:dyDescent="0.3">
      <c r="H36" s="192" t="s">
        <v>46</v>
      </c>
      <c r="I36" s="192"/>
      <c r="J36" s="12">
        <f>D35</f>
        <v>310</v>
      </c>
    </row>
    <row r="37" spans="2:10" ht="15.75" thickBot="1" x14ac:dyDescent="0.3">
      <c r="H37" s="181" t="s">
        <v>153</v>
      </c>
      <c r="I37" s="181"/>
      <c r="J37" s="15">
        <f>SUM(J32:J36)</f>
        <v>2090</v>
      </c>
    </row>
    <row r="38" spans="2:10" ht="15.75" thickBot="1" x14ac:dyDescent="0.3"/>
    <row r="39" spans="2:10" ht="33.75" customHeight="1" thickBot="1" x14ac:dyDescent="0.3">
      <c r="C39" s="16" t="s">
        <v>155</v>
      </c>
      <c r="D39" s="22" t="s">
        <v>156</v>
      </c>
    </row>
    <row r="40" spans="2:10" ht="15.75" thickBot="1" x14ac:dyDescent="0.3">
      <c r="C40" s="19" t="s">
        <v>146</v>
      </c>
      <c r="D40" s="21">
        <f>D42-D41</f>
        <v>1226</v>
      </c>
      <c r="H40" s="181" t="s">
        <v>48</v>
      </c>
      <c r="I40" s="181"/>
      <c r="J40" s="181"/>
    </row>
    <row r="41" spans="2:10" ht="15.75" thickBot="1" x14ac:dyDescent="0.3">
      <c r="C41" s="19" t="s">
        <v>157</v>
      </c>
      <c r="D41" s="21">
        <v>10000</v>
      </c>
      <c r="H41" s="14" t="s">
        <v>49</v>
      </c>
      <c r="I41" s="14"/>
      <c r="J41" s="12">
        <f>K17</f>
        <v>7420</v>
      </c>
    </row>
    <row r="42" spans="2:10" ht="15.75" thickBot="1" x14ac:dyDescent="0.3">
      <c r="C42" s="16" t="s">
        <v>158</v>
      </c>
      <c r="D42" s="17">
        <f>J44</f>
        <v>11226</v>
      </c>
      <c r="H42" s="14" t="s">
        <v>50</v>
      </c>
      <c r="I42" s="14"/>
      <c r="J42" s="12">
        <f>K27</f>
        <v>1716</v>
      </c>
    </row>
    <row r="43" spans="2:10" ht="15.75" thickBot="1" x14ac:dyDescent="0.3">
      <c r="H43" s="14" t="s">
        <v>44</v>
      </c>
      <c r="I43" s="14"/>
      <c r="J43" s="12">
        <f>J37</f>
        <v>2090</v>
      </c>
    </row>
    <row r="44" spans="2:10" ht="15.75" thickBot="1" x14ac:dyDescent="0.3">
      <c r="H44" s="181" t="s">
        <v>154</v>
      </c>
      <c r="I44" s="181"/>
      <c r="J44" s="15">
        <f>SUM(J41:J43)</f>
        <v>11226</v>
      </c>
    </row>
  </sheetData>
  <mergeCells count="30">
    <mergeCell ref="H34:I34"/>
    <mergeCell ref="H35:I35"/>
    <mergeCell ref="C21:D21"/>
    <mergeCell ref="H5:K5"/>
    <mergeCell ref="H17:J17"/>
    <mergeCell ref="C19:D19"/>
    <mergeCell ref="C20:D20"/>
    <mergeCell ref="C26:D26"/>
    <mergeCell ref="H4:K4"/>
    <mergeCell ref="H3:K3"/>
    <mergeCell ref="I18:K18"/>
    <mergeCell ref="B3:E3"/>
    <mergeCell ref="B15:D15"/>
    <mergeCell ref="C18:E18"/>
    <mergeCell ref="H40:J40"/>
    <mergeCell ref="H44:I44"/>
    <mergeCell ref="B34:C34"/>
    <mergeCell ref="B35:C35"/>
    <mergeCell ref="C22:D22"/>
    <mergeCell ref="C24:D24"/>
    <mergeCell ref="B31:D31"/>
    <mergeCell ref="B32:C32"/>
    <mergeCell ref="B33:C33"/>
    <mergeCell ref="H27:J27"/>
    <mergeCell ref="H28:J28"/>
    <mergeCell ref="H31:J31"/>
    <mergeCell ref="H36:I36"/>
    <mergeCell ref="H37:I37"/>
    <mergeCell ref="H32:I32"/>
    <mergeCell ref="H33:I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zoomScale="120" zoomScaleNormal="120" workbookViewId="0">
      <selection activeCell="D11" sqref="D11"/>
    </sheetView>
  </sheetViews>
  <sheetFormatPr baseColWidth="10" defaultRowHeight="15" x14ac:dyDescent="0.25"/>
  <cols>
    <col min="2" max="2" width="19" bestFit="1" customWidth="1"/>
    <col min="4" max="4" width="12" customWidth="1"/>
    <col min="5" max="5" width="14.7109375" customWidth="1"/>
    <col min="6" max="6" width="12.7109375" customWidth="1"/>
  </cols>
  <sheetData>
    <row r="1" spans="2:8" s="2" customFormat="1" ht="13.5" x14ac:dyDescent="0.25"/>
    <row r="2" spans="2:8" s="2" customFormat="1" ht="14.25" thickBot="1" x14ac:dyDescent="0.3"/>
    <row r="3" spans="2:8" s="2" customFormat="1" ht="27.75" thickBot="1" x14ac:dyDescent="0.3">
      <c r="B3" s="34" t="s">
        <v>0</v>
      </c>
      <c r="C3" s="34" t="s">
        <v>1</v>
      </c>
      <c r="D3" s="35" t="s">
        <v>2</v>
      </c>
      <c r="E3" s="35" t="s">
        <v>3</v>
      </c>
      <c r="F3" s="35" t="s">
        <v>4</v>
      </c>
    </row>
    <row r="4" spans="2:8" s="2" customFormat="1" ht="14.25" thickBot="1" x14ac:dyDescent="0.3">
      <c r="B4" s="29" t="s">
        <v>5</v>
      </c>
      <c r="C4" s="30">
        <v>1</v>
      </c>
      <c r="D4" s="31">
        <v>1000</v>
      </c>
      <c r="E4" s="31">
        <f>D4*C7+D4*C8</f>
        <v>210</v>
      </c>
      <c r="F4" s="31">
        <f>SUM(D4:E4)</f>
        <v>1210</v>
      </c>
      <c r="H4" s="2">
        <v>1210</v>
      </c>
    </row>
    <row r="5" spans="2:8" s="2" customFormat="1" ht="15.75" customHeight="1" thickBot="1" x14ac:dyDescent="0.3">
      <c r="B5" s="197" t="s">
        <v>6</v>
      </c>
      <c r="C5" s="198"/>
      <c r="D5" s="36">
        <f>SUM(D4:D4)</f>
        <v>1000</v>
      </c>
      <c r="E5" s="36">
        <f>SUM(E4:E4)</f>
        <v>210</v>
      </c>
      <c r="F5" s="36">
        <f>SUM(F4:F4)</f>
        <v>1210</v>
      </c>
    </row>
    <row r="6" spans="2:8" s="2" customFormat="1" ht="14.25" thickBot="1" x14ac:dyDescent="0.3">
      <c r="B6" s="32" t="s">
        <v>7</v>
      </c>
      <c r="C6" s="28" t="s">
        <v>8</v>
      </c>
      <c r="D6" s="11"/>
      <c r="E6" s="11"/>
      <c r="F6" s="11"/>
    </row>
    <row r="7" spans="2:8" s="2" customFormat="1" ht="14.25" thickBot="1" x14ac:dyDescent="0.3">
      <c r="B7" s="29" t="s">
        <v>9</v>
      </c>
      <c r="C7" s="33">
        <v>0.125</v>
      </c>
      <c r="D7" s="11">
        <f>12.5/100</f>
        <v>0.125</v>
      </c>
      <c r="E7" s="11"/>
      <c r="F7" s="11"/>
    </row>
    <row r="8" spans="2:8" s="2" customFormat="1" ht="14.25" thickBot="1" x14ac:dyDescent="0.3">
      <c r="B8" s="29" t="s">
        <v>10</v>
      </c>
      <c r="C8" s="33">
        <v>8.5000000000000006E-2</v>
      </c>
      <c r="D8" s="11"/>
      <c r="E8" s="11"/>
      <c r="F8" s="11"/>
    </row>
    <row r="9" spans="2:8" s="2" customFormat="1" ht="13.5" x14ac:dyDescent="0.25">
      <c r="B9" s="5"/>
      <c r="C9" s="5"/>
      <c r="D9" s="5"/>
      <c r="E9" s="5"/>
      <c r="F9" s="5"/>
    </row>
    <row r="10" spans="2:8" s="2" customFormat="1" ht="13.5" x14ac:dyDescent="0.25"/>
    <row r="11" spans="2:8" s="2" customFormat="1" ht="13.5" x14ac:dyDescent="0.25"/>
    <row r="12" spans="2:8" s="2" customFormat="1" ht="13.5" x14ac:dyDescent="0.25"/>
    <row r="13" spans="2:8" s="2" customFormat="1" ht="13.5" x14ac:dyDescent="0.25"/>
    <row r="14" spans="2:8" s="2" customFormat="1" ht="13.5" x14ac:dyDescent="0.25"/>
    <row r="15" spans="2:8" s="2" customFormat="1" ht="13.5" x14ac:dyDescent="0.25"/>
  </sheetData>
  <mergeCells count="1">
    <mergeCell ref="B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25" zoomScale="120" zoomScaleNormal="120" workbookViewId="0">
      <selection activeCell="F32" sqref="F32"/>
    </sheetView>
  </sheetViews>
  <sheetFormatPr baseColWidth="10" defaultRowHeight="15" x14ac:dyDescent="0.25"/>
  <cols>
    <col min="1" max="1" width="11.42578125" style="5"/>
    <col min="2" max="2" width="15.28515625" style="5" bestFit="1" customWidth="1"/>
    <col min="3" max="3" width="8.5703125" style="5" bestFit="1" customWidth="1"/>
    <col min="4" max="4" width="11.42578125" style="5"/>
    <col min="5" max="5" width="15" style="5" bestFit="1" customWidth="1"/>
    <col min="6" max="8" width="11.42578125" style="5"/>
    <col min="9" max="9" width="28.7109375" style="5" bestFit="1" customWidth="1"/>
    <col min="10" max="10" width="11.42578125" style="5"/>
    <col min="11" max="11" width="11.42578125" style="37"/>
  </cols>
  <sheetData>
    <row r="1" spans="2:10" ht="15.75" thickBot="1" x14ac:dyDescent="0.3"/>
    <row r="2" spans="2:10" ht="15.75" thickBot="1" x14ac:dyDescent="0.3">
      <c r="I2" s="199" t="s">
        <v>147</v>
      </c>
      <c r="J2" s="199"/>
    </row>
    <row r="3" spans="2:10" ht="15.75" thickBot="1" x14ac:dyDescent="0.3">
      <c r="B3" s="199" t="s">
        <v>51</v>
      </c>
      <c r="C3" s="199"/>
      <c r="I3" s="39" t="s">
        <v>168</v>
      </c>
      <c r="J3" s="46">
        <f>J5+J4</f>
        <v>13283</v>
      </c>
    </row>
    <row r="4" spans="2:10" ht="15.75" thickBot="1" x14ac:dyDescent="0.3">
      <c r="B4" s="39" t="s">
        <v>52</v>
      </c>
      <c r="C4" s="40">
        <v>10000</v>
      </c>
      <c r="I4" s="39" t="s">
        <v>61</v>
      </c>
      <c r="J4" s="46">
        <v>3283</v>
      </c>
    </row>
    <row r="5" spans="2:10" ht="15.75" thickBot="1" x14ac:dyDescent="0.3">
      <c r="B5" s="39" t="s">
        <v>115</v>
      </c>
      <c r="C5" s="41">
        <v>0.11706</v>
      </c>
      <c r="I5" s="39" t="s">
        <v>62</v>
      </c>
      <c r="J5" s="46">
        <v>10000</v>
      </c>
    </row>
    <row r="6" spans="2:10" ht="15.75" thickBot="1" x14ac:dyDescent="0.3">
      <c r="B6" s="39" t="s">
        <v>53</v>
      </c>
      <c r="C6" s="42">
        <v>12</v>
      </c>
    </row>
    <row r="7" spans="2:10" ht="15.75" thickBot="1" x14ac:dyDescent="0.3">
      <c r="B7" s="39" t="s">
        <v>54</v>
      </c>
      <c r="C7" s="40">
        <v>884.38</v>
      </c>
    </row>
    <row r="9" spans="2:10" ht="15.75" thickBot="1" x14ac:dyDescent="0.3"/>
    <row r="10" spans="2:10" ht="15.75" thickBot="1" x14ac:dyDescent="0.3">
      <c r="C10" s="199" t="s">
        <v>55</v>
      </c>
      <c r="D10" s="199"/>
      <c r="E10" s="199"/>
      <c r="F10" s="199"/>
      <c r="G10" s="199"/>
    </row>
    <row r="11" spans="2:10" ht="15.75" thickBot="1" x14ac:dyDescent="0.3">
      <c r="C11" s="11"/>
      <c r="D11" s="38"/>
      <c r="E11" s="38"/>
      <c r="F11" s="38"/>
      <c r="G11" s="38"/>
    </row>
    <row r="12" spans="2:10" ht="15.75" thickBot="1" x14ac:dyDescent="0.3">
      <c r="C12" s="47" t="s">
        <v>56</v>
      </c>
      <c r="D12" s="47" t="s">
        <v>57</v>
      </c>
      <c r="E12" s="47" t="s">
        <v>58</v>
      </c>
      <c r="F12" s="47" t="s">
        <v>59</v>
      </c>
      <c r="G12" s="47" t="s">
        <v>60</v>
      </c>
    </row>
    <row r="13" spans="2:10" ht="15.75" thickBot="1" x14ac:dyDescent="0.3">
      <c r="C13" s="43">
        <v>0</v>
      </c>
      <c r="D13" s="43">
        <v>10000</v>
      </c>
      <c r="E13" s="43">
        <v>0</v>
      </c>
      <c r="F13" s="43">
        <v>0</v>
      </c>
      <c r="G13" s="43">
        <v>0</v>
      </c>
    </row>
    <row r="14" spans="2:10" ht="15.75" thickBot="1" x14ac:dyDescent="0.3">
      <c r="C14" s="43">
        <v>1</v>
      </c>
      <c r="D14" s="40">
        <v>9208.2900000000009</v>
      </c>
      <c r="E14" s="43">
        <v>791.71</v>
      </c>
      <c r="F14" s="43">
        <v>92.68</v>
      </c>
      <c r="G14" s="43">
        <v>884.38</v>
      </c>
    </row>
    <row r="15" spans="2:10" ht="15.75" thickBot="1" x14ac:dyDescent="0.3">
      <c r="C15" s="43">
        <v>2</v>
      </c>
      <c r="D15" s="40">
        <v>8409.25</v>
      </c>
      <c r="E15" s="43">
        <v>799.04</v>
      </c>
      <c r="F15" s="43">
        <v>85.34</v>
      </c>
      <c r="G15" s="43">
        <v>884.38</v>
      </c>
    </row>
    <row r="16" spans="2:10" ht="15.75" thickBot="1" x14ac:dyDescent="0.3">
      <c r="C16" s="43">
        <v>3</v>
      </c>
      <c r="D16" s="40">
        <v>7602.8</v>
      </c>
      <c r="E16" s="43">
        <v>806.45</v>
      </c>
      <c r="F16" s="43">
        <v>77.930000000000007</v>
      </c>
      <c r="G16" s="43">
        <v>884.38</v>
      </c>
    </row>
    <row r="17" spans="3:7" ht="15.75" thickBot="1" x14ac:dyDescent="0.3">
      <c r="C17" s="43">
        <v>4</v>
      </c>
      <c r="D17" s="40">
        <v>6788.88</v>
      </c>
      <c r="E17" s="43">
        <v>813.92</v>
      </c>
      <c r="F17" s="43">
        <v>70.459999999999994</v>
      </c>
      <c r="G17" s="43">
        <v>884.38</v>
      </c>
    </row>
    <row r="18" spans="3:7" ht="15.75" thickBot="1" x14ac:dyDescent="0.3">
      <c r="C18" s="43">
        <v>5</v>
      </c>
      <c r="D18" s="40">
        <v>5967.41</v>
      </c>
      <c r="E18" s="43">
        <v>821.47</v>
      </c>
      <c r="F18" s="43">
        <v>62.92</v>
      </c>
      <c r="G18" s="43">
        <v>884.38</v>
      </c>
    </row>
    <row r="19" spans="3:7" ht="15.75" thickBot="1" x14ac:dyDescent="0.3">
      <c r="C19" s="43">
        <v>6</v>
      </c>
      <c r="D19" s="40">
        <v>5138.33</v>
      </c>
      <c r="E19" s="43">
        <v>829.08</v>
      </c>
      <c r="F19" s="40">
        <v>55.3</v>
      </c>
      <c r="G19" s="43">
        <v>884.38</v>
      </c>
    </row>
    <row r="20" spans="3:7" ht="15.75" thickBot="1" x14ac:dyDescent="0.3">
      <c r="C20" s="43">
        <v>7</v>
      </c>
      <c r="D20" s="40">
        <v>4301.57</v>
      </c>
      <c r="E20" s="43">
        <v>836.76</v>
      </c>
      <c r="F20" s="43">
        <v>47.62</v>
      </c>
      <c r="G20" s="43">
        <v>884.38</v>
      </c>
    </row>
    <row r="21" spans="3:7" ht="15.75" thickBot="1" x14ac:dyDescent="0.3">
      <c r="C21" s="43">
        <v>8</v>
      </c>
      <c r="D21" s="40">
        <v>3457.05</v>
      </c>
      <c r="E21" s="43">
        <v>844.52</v>
      </c>
      <c r="F21" s="43">
        <v>39.869999999999997</v>
      </c>
      <c r="G21" s="43">
        <v>884.38</v>
      </c>
    </row>
    <row r="22" spans="3:7" ht="15.75" thickBot="1" x14ac:dyDescent="0.3">
      <c r="C22" s="43">
        <v>9</v>
      </c>
      <c r="D22" s="40">
        <v>2604.71</v>
      </c>
      <c r="E22" s="43">
        <v>852.34</v>
      </c>
      <c r="F22" s="43">
        <v>32.04</v>
      </c>
      <c r="G22" s="43">
        <v>884.38</v>
      </c>
    </row>
    <row r="23" spans="3:7" ht="15.75" thickBot="1" x14ac:dyDescent="0.3">
      <c r="C23" s="43">
        <v>10</v>
      </c>
      <c r="D23" s="40">
        <v>1744.47</v>
      </c>
      <c r="E23" s="43">
        <v>860.24</v>
      </c>
      <c r="F23" s="43">
        <v>24.14</v>
      </c>
      <c r="G23" s="43">
        <v>884.38</v>
      </c>
    </row>
    <row r="24" spans="3:7" ht="15.75" thickBot="1" x14ac:dyDescent="0.3">
      <c r="C24" s="43">
        <v>11</v>
      </c>
      <c r="D24" s="40">
        <v>876.25</v>
      </c>
      <c r="E24" s="43">
        <v>868.22</v>
      </c>
      <c r="F24" s="43">
        <v>16.170000000000002</v>
      </c>
      <c r="G24" s="43">
        <v>884.38</v>
      </c>
    </row>
    <row r="25" spans="3:7" ht="15.75" thickBot="1" x14ac:dyDescent="0.3">
      <c r="C25" s="43">
        <v>12</v>
      </c>
      <c r="D25" s="40">
        <v>0</v>
      </c>
      <c r="E25" s="43">
        <v>876.26</v>
      </c>
      <c r="F25" s="43">
        <v>8.1199999999999992</v>
      </c>
      <c r="G25" s="43">
        <v>884.38</v>
      </c>
    </row>
    <row r="26" spans="3:7" ht="15.75" thickBot="1" x14ac:dyDescent="0.3">
      <c r="C26" s="39"/>
      <c r="D26" s="47" t="s">
        <v>20</v>
      </c>
      <c r="E26" s="48">
        <f>SUM(E13:E25)</f>
        <v>10000.01</v>
      </c>
      <c r="F26" s="49">
        <f>SUM(F13:F25)</f>
        <v>612.58999999999992</v>
      </c>
      <c r="G26" s="49">
        <f>SUM(G13:G25)</f>
        <v>10612.559999999998</v>
      </c>
    </row>
  </sheetData>
  <mergeCells count="3">
    <mergeCell ref="B3:C3"/>
    <mergeCell ref="C10:G10"/>
    <mergeCell ref="I2:J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34" zoomScale="120" zoomScaleNormal="120" workbookViewId="0">
      <selection activeCell="H14" sqref="H14"/>
    </sheetView>
  </sheetViews>
  <sheetFormatPr baseColWidth="10" defaultRowHeight="15" x14ac:dyDescent="0.25"/>
  <cols>
    <col min="1" max="1" width="11.42578125" style="140"/>
    <col min="2" max="2" width="4.85546875" style="5" bestFit="1" customWidth="1"/>
    <col min="3" max="3" width="31.7109375" style="5" customWidth="1"/>
    <col min="4" max="4" width="9" style="5" customWidth="1"/>
    <col min="5" max="5" width="12.42578125" style="50" customWidth="1"/>
    <col min="6" max="6" width="11.42578125" style="5"/>
    <col min="7" max="7" width="12.7109375" style="5" bestFit="1" customWidth="1"/>
    <col min="8" max="10" width="11.42578125" style="5"/>
    <col min="11" max="13" width="11.42578125" style="2"/>
  </cols>
  <sheetData>
    <row r="1" spans="1:12" ht="15.75" thickBot="1" x14ac:dyDescent="0.3"/>
    <row r="2" spans="1:12" ht="15.75" thickBot="1" x14ac:dyDescent="0.3">
      <c r="B2" s="200" t="s">
        <v>160</v>
      </c>
      <c r="C2" s="200"/>
      <c r="D2" s="200"/>
      <c r="E2" s="200"/>
    </row>
    <row r="3" spans="1:12" ht="15.75" thickBot="1" x14ac:dyDescent="0.3"/>
    <row r="4" spans="1:12" ht="15.75" thickBot="1" x14ac:dyDescent="0.3">
      <c r="A4" s="140">
        <v>1</v>
      </c>
      <c r="B4" s="200" t="s">
        <v>68</v>
      </c>
      <c r="C4" s="200"/>
      <c r="D4" s="200"/>
      <c r="E4" s="64">
        <v>75</v>
      </c>
    </row>
    <row r="5" spans="1:12" ht="27.75" thickBot="1" x14ac:dyDescent="0.3">
      <c r="B5" s="65" t="s">
        <v>148</v>
      </c>
      <c r="C5" s="66" t="s">
        <v>65</v>
      </c>
      <c r="D5" s="66" t="s">
        <v>149</v>
      </c>
      <c r="E5" s="65" t="s">
        <v>150</v>
      </c>
    </row>
    <row r="6" spans="1:12" ht="15.75" thickBot="1" x14ac:dyDescent="0.3">
      <c r="B6" s="51">
        <v>1</v>
      </c>
      <c r="C6" s="52" t="s">
        <v>66</v>
      </c>
      <c r="D6" s="53">
        <v>2</v>
      </c>
      <c r="E6" s="54">
        <f>D6*B6</f>
        <v>2</v>
      </c>
      <c r="K6" s="2">
        <v>50</v>
      </c>
      <c r="L6" s="2">
        <f>K6/10</f>
        <v>5</v>
      </c>
    </row>
    <row r="7" spans="1:12" ht="27.75" thickBot="1" x14ac:dyDescent="0.3">
      <c r="B7" s="51">
        <v>1</v>
      </c>
      <c r="C7" s="52" t="s">
        <v>69</v>
      </c>
      <c r="D7" s="53">
        <v>5</v>
      </c>
      <c r="E7" s="54">
        <f>D7*B7</f>
        <v>5</v>
      </c>
    </row>
    <row r="8" spans="1:12" ht="15.75" thickBot="1" x14ac:dyDescent="0.3">
      <c r="B8" s="51">
        <v>1</v>
      </c>
      <c r="C8" s="52" t="s">
        <v>67</v>
      </c>
      <c r="D8" s="53">
        <v>10</v>
      </c>
      <c r="E8" s="55">
        <f>D8*B8</f>
        <v>10</v>
      </c>
    </row>
    <row r="9" spans="1:12" ht="15.75" thickBot="1" x14ac:dyDescent="0.3">
      <c r="B9" s="51">
        <v>1</v>
      </c>
      <c r="C9" s="52" t="s">
        <v>179</v>
      </c>
      <c r="D9" s="56">
        <v>5</v>
      </c>
      <c r="E9" s="54">
        <f>D9*B9</f>
        <v>5</v>
      </c>
      <c r="F9" s="65" t="s">
        <v>63</v>
      </c>
      <c r="G9" s="65" t="s">
        <v>180</v>
      </c>
      <c r="K9" s="2">
        <f>15</f>
        <v>15</v>
      </c>
      <c r="L9" s="2">
        <v>10</v>
      </c>
    </row>
    <row r="10" spans="1:12" ht="15.75" thickBot="1" x14ac:dyDescent="0.3">
      <c r="B10" s="11"/>
      <c r="C10" s="57"/>
      <c r="D10" s="57"/>
      <c r="E10" s="64">
        <f>SUM(E6:E9)</f>
        <v>22</v>
      </c>
      <c r="F10" s="54">
        <v>60</v>
      </c>
      <c r="G10" s="54">
        <f>E10*F10</f>
        <v>1320</v>
      </c>
      <c r="K10" s="2">
        <f>L10/60</f>
        <v>2.5</v>
      </c>
      <c r="L10" s="2">
        <f>L9*K9</f>
        <v>150</v>
      </c>
    </row>
    <row r="11" spans="1:12" ht="15.75" thickBot="1" x14ac:dyDescent="0.3">
      <c r="F11" s="134" t="s">
        <v>181</v>
      </c>
      <c r="G11" s="67">
        <f>G10*4</f>
        <v>5280</v>
      </c>
    </row>
    <row r="13" spans="1:12" ht="15.75" thickBot="1" x14ac:dyDescent="0.3"/>
    <row r="14" spans="1:12" ht="15.75" thickBot="1" x14ac:dyDescent="0.3">
      <c r="A14" s="140">
        <v>2</v>
      </c>
      <c r="B14" s="200" t="s">
        <v>178</v>
      </c>
      <c r="C14" s="200"/>
      <c r="D14" s="200"/>
      <c r="E14" s="64">
        <v>75</v>
      </c>
    </row>
    <row r="15" spans="1:12" ht="27.75" thickBot="1" x14ac:dyDescent="0.3">
      <c r="B15" s="65" t="s">
        <v>148</v>
      </c>
      <c r="C15" s="66" t="s">
        <v>65</v>
      </c>
      <c r="D15" s="66" t="s">
        <v>149</v>
      </c>
      <c r="E15" s="65" t="s">
        <v>150</v>
      </c>
    </row>
    <row r="16" spans="1:12" ht="27.75" thickBot="1" x14ac:dyDescent="0.3">
      <c r="B16" s="51">
        <v>1</v>
      </c>
      <c r="C16" s="52" t="s">
        <v>69</v>
      </c>
      <c r="D16" s="53">
        <v>10</v>
      </c>
      <c r="E16" s="54">
        <f>D16*B16</f>
        <v>10</v>
      </c>
    </row>
    <row r="17" spans="1:9" ht="15.75" thickBot="1" x14ac:dyDescent="0.3">
      <c r="B17" s="51">
        <v>1</v>
      </c>
      <c r="C17" s="52" t="s">
        <v>177</v>
      </c>
      <c r="D17" s="53">
        <v>1.5</v>
      </c>
      <c r="E17" s="54">
        <f t="shared" ref="E17:E18" si="0">D17*B17</f>
        <v>1.5</v>
      </c>
    </row>
    <row r="18" spans="1:9" ht="15.75" thickBot="1" x14ac:dyDescent="0.3">
      <c r="B18" s="51">
        <v>1</v>
      </c>
      <c r="C18" s="52" t="s">
        <v>67</v>
      </c>
      <c r="D18" s="53">
        <v>10</v>
      </c>
      <c r="E18" s="54">
        <f t="shared" si="0"/>
        <v>10</v>
      </c>
    </row>
    <row r="19" spans="1:9" ht="15.75" thickBot="1" x14ac:dyDescent="0.3">
      <c r="B19" s="51">
        <v>1</v>
      </c>
      <c r="C19" s="52" t="s">
        <v>179</v>
      </c>
      <c r="D19" s="56">
        <v>5</v>
      </c>
      <c r="E19" s="54">
        <f>D19*B19</f>
        <v>5</v>
      </c>
      <c r="F19" s="65" t="s">
        <v>63</v>
      </c>
      <c r="G19" s="134" t="s">
        <v>180</v>
      </c>
    </row>
    <row r="20" spans="1:9" ht="15.75" thickBot="1" x14ac:dyDescent="0.3">
      <c r="B20" s="11"/>
      <c r="C20" s="57"/>
      <c r="D20" s="57"/>
      <c r="E20" s="64">
        <f>SUM(E16:E19)</f>
        <v>26.5</v>
      </c>
      <c r="F20" s="54">
        <v>60</v>
      </c>
      <c r="G20" s="54">
        <f>E20*F20</f>
        <v>1590</v>
      </c>
    </row>
    <row r="21" spans="1:9" ht="15.75" thickBot="1" x14ac:dyDescent="0.3">
      <c r="F21" s="134" t="s">
        <v>181</v>
      </c>
      <c r="G21" s="67">
        <f>G20*4</f>
        <v>6360</v>
      </c>
    </row>
    <row r="23" spans="1:9" ht="15.75" thickBot="1" x14ac:dyDescent="0.3"/>
    <row r="24" spans="1:9" ht="15.75" thickBot="1" x14ac:dyDescent="0.3">
      <c r="A24" s="140">
        <v>3</v>
      </c>
      <c r="B24" s="200" t="s">
        <v>161</v>
      </c>
      <c r="C24" s="200"/>
      <c r="D24" s="200"/>
      <c r="E24" s="64">
        <v>85</v>
      </c>
    </row>
    <row r="25" spans="1:9" ht="27.75" thickBot="1" x14ac:dyDescent="0.3">
      <c r="B25" s="65" t="s">
        <v>148</v>
      </c>
      <c r="C25" s="66" t="s">
        <v>65</v>
      </c>
      <c r="D25" s="66" t="s">
        <v>149</v>
      </c>
      <c r="E25" s="65" t="s">
        <v>150</v>
      </c>
    </row>
    <row r="26" spans="1:9" ht="27.75" thickBot="1" x14ac:dyDescent="0.3">
      <c r="B26" s="51">
        <v>1</v>
      </c>
      <c r="C26" s="52" t="s">
        <v>70</v>
      </c>
      <c r="D26" s="53">
        <v>15</v>
      </c>
      <c r="E26" s="54">
        <f>D26*B26</f>
        <v>15</v>
      </c>
    </row>
    <row r="27" spans="1:9" ht="15.75" thickBot="1" x14ac:dyDescent="0.3">
      <c r="B27" s="51">
        <v>1</v>
      </c>
      <c r="C27" s="52" t="s">
        <v>67</v>
      </c>
      <c r="D27" s="53">
        <v>20</v>
      </c>
      <c r="E27" s="54">
        <f>D27*B27</f>
        <v>20</v>
      </c>
    </row>
    <row r="28" spans="1:9" ht="15.75" thickBot="1" x14ac:dyDescent="0.3">
      <c r="B28" s="62">
        <v>1</v>
      </c>
      <c r="C28" s="58" t="s">
        <v>71</v>
      </c>
      <c r="D28" s="59">
        <v>3</v>
      </c>
      <c r="E28" s="59">
        <f>B28*D28</f>
        <v>3</v>
      </c>
    </row>
    <row r="29" spans="1:9" ht="15.75" thickBot="1" x14ac:dyDescent="0.3">
      <c r="B29" s="51">
        <v>1</v>
      </c>
      <c r="C29" s="52" t="s">
        <v>179</v>
      </c>
      <c r="D29" s="53">
        <v>5</v>
      </c>
      <c r="E29" s="60">
        <f>D29*B29</f>
        <v>5</v>
      </c>
      <c r="F29" s="65" t="s">
        <v>63</v>
      </c>
      <c r="G29" s="134" t="s">
        <v>180</v>
      </c>
      <c r="I29" s="68">
        <f>E24-E30</f>
        <v>42</v>
      </c>
    </row>
    <row r="30" spans="1:9" ht="15.75" thickBot="1" x14ac:dyDescent="0.3">
      <c r="B30" s="11"/>
      <c r="C30" s="57"/>
      <c r="D30" s="57"/>
      <c r="E30" s="64">
        <f>SUM(E26:E29)</f>
        <v>43</v>
      </c>
      <c r="F30" s="54">
        <v>30</v>
      </c>
      <c r="G30" s="54">
        <f>E30*F30</f>
        <v>1290</v>
      </c>
    </row>
    <row r="31" spans="1:9" ht="15.75" thickBot="1" x14ac:dyDescent="0.3">
      <c r="F31" s="134" t="s">
        <v>181</v>
      </c>
      <c r="G31" s="67">
        <f>G30*4</f>
        <v>5160</v>
      </c>
    </row>
    <row r="33" spans="1:10" ht="15.75" thickBot="1" x14ac:dyDescent="0.3"/>
    <row r="34" spans="1:10" ht="15.75" thickBot="1" x14ac:dyDescent="0.3">
      <c r="A34" s="140">
        <v>4</v>
      </c>
      <c r="B34" s="200" t="s">
        <v>162</v>
      </c>
      <c r="C34" s="200"/>
      <c r="D34" s="200"/>
      <c r="E34" s="64">
        <v>150</v>
      </c>
    </row>
    <row r="35" spans="1:10" ht="27.75" thickBot="1" x14ac:dyDescent="0.3">
      <c r="B35" s="65" t="s">
        <v>148</v>
      </c>
      <c r="C35" s="66" t="s">
        <v>65</v>
      </c>
      <c r="D35" s="66" t="s">
        <v>149</v>
      </c>
      <c r="E35" s="65" t="s">
        <v>150</v>
      </c>
    </row>
    <row r="36" spans="1:10" ht="27.75" thickBot="1" x14ac:dyDescent="0.3">
      <c r="B36" s="51">
        <v>1</v>
      </c>
      <c r="C36" s="61" t="s">
        <v>72</v>
      </c>
      <c r="D36" s="59">
        <v>5</v>
      </c>
      <c r="E36" s="59">
        <f>B36*D36</f>
        <v>5</v>
      </c>
    </row>
    <row r="37" spans="1:10" ht="27.75" thickBot="1" x14ac:dyDescent="0.3">
      <c r="B37" s="51">
        <v>1</v>
      </c>
      <c r="C37" s="52" t="s">
        <v>70</v>
      </c>
      <c r="D37" s="53">
        <v>5</v>
      </c>
      <c r="E37" s="54">
        <f>D37*B36</f>
        <v>5</v>
      </c>
    </row>
    <row r="38" spans="1:10" ht="15.75" thickBot="1" x14ac:dyDescent="0.3">
      <c r="B38" s="51">
        <v>1</v>
      </c>
      <c r="C38" s="52" t="s">
        <v>73</v>
      </c>
      <c r="D38" s="53">
        <v>15</v>
      </c>
      <c r="E38" s="54">
        <f>B38*D38</f>
        <v>15</v>
      </c>
      <c r="J38" s="5">
        <f>250/10</f>
        <v>25</v>
      </c>
    </row>
    <row r="39" spans="1:10" ht="15.75" thickBot="1" x14ac:dyDescent="0.3">
      <c r="B39" s="51">
        <v>1</v>
      </c>
      <c r="C39" s="52" t="s">
        <v>67</v>
      </c>
      <c r="D39" s="53">
        <v>25</v>
      </c>
      <c r="E39" s="55">
        <f>D39*B39</f>
        <v>25</v>
      </c>
    </row>
    <row r="40" spans="1:10" ht="15.75" thickBot="1" x14ac:dyDescent="0.3">
      <c r="B40" s="51">
        <v>1</v>
      </c>
      <c r="C40" s="52" t="s">
        <v>179</v>
      </c>
      <c r="D40" s="56">
        <v>5</v>
      </c>
      <c r="E40" s="54">
        <f>D40*B40</f>
        <v>5</v>
      </c>
      <c r="F40" s="65" t="s">
        <v>63</v>
      </c>
      <c r="G40" s="134" t="s">
        <v>180</v>
      </c>
    </row>
    <row r="41" spans="1:10" ht="15.75" thickBot="1" x14ac:dyDescent="0.3">
      <c r="B41" s="11"/>
      <c r="C41" s="57"/>
      <c r="D41" s="57"/>
      <c r="E41" s="64">
        <f>SUM(E36:E40)</f>
        <v>55</v>
      </c>
      <c r="F41" s="54">
        <v>10</v>
      </c>
      <c r="G41" s="54">
        <f>E41*F41</f>
        <v>550</v>
      </c>
    </row>
    <row r="42" spans="1:10" ht="15.75" thickBot="1" x14ac:dyDescent="0.3">
      <c r="F42" s="134" t="s">
        <v>181</v>
      </c>
      <c r="G42" s="67">
        <f>G41*4</f>
        <v>2200</v>
      </c>
    </row>
    <row r="44" spans="1:10" ht="15.75" thickBot="1" x14ac:dyDescent="0.3"/>
    <row r="45" spans="1:10" ht="15.75" thickBot="1" x14ac:dyDescent="0.3">
      <c r="E45" s="62" t="s">
        <v>64</v>
      </c>
      <c r="F45" s="63">
        <f>G11+G21+G31+G42</f>
        <v>19000</v>
      </c>
    </row>
  </sheetData>
  <mergeCells count="5">
    <mergeCell ref="B4:D4"/>
    <mergeCell ref="B14:D14"/>
    <mergeCell ref="B24:D24"/>
    <mergeCell ref="B34:D34"/>
    <mergeCell ref="B2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3"/>
  <sheetViews>
    <sheetView topLeftCell="A58" zoomScale="120" zoomScaleNormal="120" workbookViewId="0">
      <selection activeCell="J63" sqref="J63"/>
    </sheetView>
  </sheetViews>
  <sheetFormatPr baseColWidth="10" defaultRowHeight="15" x14ac:dyDescent="0.25"/>
  <cols>
    <col min="1" max="1" width="11.42578125" style="5"/>
    <col min="2" max="2" width="5.42578125" style="5" customWidth="1"/>
    <col min="3" max="3" width="26.85546875" style="5" customWidth="1"/>
    <col min="4" max="4" width="9.7109375" style="5" customWidth="1"/>
    <col min="5" max="5" width="10.42578125" style="5" bestFit="1" customWidth="1"/>
    <col min="6" max="6" width="15.28515625" style="5" customWidth="1"/>
    <col min="7" max="7" width="16.140625" style="5" customWidth="1"/>
    <col min="8" max="8" width="8.85546875" style="5" customWidth="1"/>
    <col min="9" max="9" width="12.85546875" style="5" customWidth="1"/>
    <col min="10" max="10" width="14.5703125" style="5" customWidth="1"/>
    <col min="11" max="14" width="11.42578125" style="2"/>
  </cols>
  <sheetData>
    <row r="2" spans="2:5" ht="15.75" thickBot="1" x14ac:dyDescent="0.3"/>
    <row r="3" spans="2:5" ht="15.75" thickBot="1" x14ac:dyDescent="0.3">
      <c r="B3" s="202" t="s">
        <v>68</v>
      </c>
      <c r="C3" s="203"/>
      <c r="D3" s="204"/>
      <c r="E3" s="180">
        <v>75</v>
      </c>
    </row>
    <row r="4" spans="2:5" ht="28.5" thickTop="1" thickBot="1" x14ac:dyDescent="0.3">
      <c r="B4" s="178" t="s">
        <v>148</v>
      </c>
      <c r="C4" s="179" t="s">
        <v>65</v>
      </c>
      <c r="D4" s="179" t="s">
        <v>149</v>
      </c>
      <c r="E4" s="178" t="s">
        <v>150</v>
      </c>
    </row>
    <row r="5" spans="2:5" ht="16.5" thickTop="1" thickBot="1" x14ac:dyDescent="0.3">
      <c r="B5" s="159">
        <v>1</v>
      </c>
      <c r="C5" s="160" t="s">
        <v>66</v>
      </c>
      <c r="D5" s="161">
        <v>2</v>
      </c>
      <c r="E5" s="162">
        <f>D5*B5</f>
        <v>2</v>
      </c>
    </row>
    <row r="6" spans="2:5" ht="27.75" thickBot="1" x14ac:dyDescent="0.3">
      <c r="B6" s="155">
        <v>1</v>
      </c>
      <c r="C6" s="156" t="s">
        <v>69</v>
      </c>
      <c r="D6" s="157">
        <v>5</v>
      </c>
      <c r="E6" s="158">
        <f>D6*B6</f>
        <v>5</v>
      </c>
    </row>
    <row r="7" spans="2:5" ht="15.75" thickBot="1" x14ac:dyDescent="0.3">
      <c r="B7" s="153">
        <v>1</v>
      </c>
      <c r="C7" s="76" t="s">
        <v>67</v>
      </c>
      <c r="D7" s="77">
        <v>10</v>
      </c>
      <c r="E7" s="154">
        <f>D7*B7</f>
        <v>10</v>
      </c>
    </row>
    <row r="8" spans="2:5" ht="15.75" thickBot="1" x14ac:dyDescent="0.3">
      <c r="B8" s="170">
        <v>1</v>
      </c>
      <c r="C8" s="171" t="s">
        <v>179</v>
      </c>
      <c r="D8" s="172">
        <v>5</v>
      </c>
      <c r="E8" s="158">
        <f>D8*B8</f>
        <v>5</v>
      </c>
    </row>
    <row r="9" spans="2:5" ht="16.5" thickTop="1" thickBot="1" x14ac:dyDescent="0.3">
      <c r="B9" s="11"/>
      <c r="C9" s="57"/>
      <c r="D9" s="57"/>
      <c r="E9" s="173">
        <f>SUM(E5:E8)</f>
        <v>22</v>
      </c>
    </row>
    <row r="10" spans="2:5" ht="15.75" thickTop="1" x14ac:dyDescent="0.25">
      <c r="E10" s="50"/>
    </row>
    <row r="11" spans="2:5" x14ac:dyDescent="0.25">
      <c r="E11" s="50"/>
    </row>
    <row r="12" spans="2:5" ht="15.75" thickBot="1" x14ac:dyDescent="0.3">
      <c r="E12" s="50"/>
    </row>
    <row r="13" spans="2:5" ht="15.75" thickBot="1" x14ac:dyDescent="0.3">
      <c r="B13" s="202" t="s">
        <v>178</v>
      </c>
      <c r="C13" s="203"/>
      <c r="D13" s="204"/>
      <c r="E13" s="180">
        <v>75</v>
      </c>
    </row>
    <row r="14" spans="2:5" ht="28.5" thickTop="1" thickBot="1" x14ac:dyDescent="0.3">
      <c r="B14" s="178" t="s">
        <v>148</v>
      </c>
      <c r="C14" s="179" t="s">
        <v>65</v>
      </c>
      <c r="D14" s="179" t="s">
        <v>149</v>
      </c>
      <c r="E14" s="178" t="s">
        <v>150</v>
      </c>
    </row>
    <row r="15" spans="2:5" ht="28.5" thickTop="1" thickBot="1" x14ac:dyDescent="0.3">
      <c r="B15" s="159">
        <v>1</v>
      </c>
      <c r="C15" s="160" t="s">
        <v>69</v>
      </c>
      <c r="D15" s="163">
        <v>10</v>
      </c>
      <c r="E15" s="165">
        <f>D15*B15</f>
        <v>10</v>
      </c>
    </row>
    <row r="16" spans="2:5" ht="15.75" thickBot="1" x14ac:dyDescent="0.3">
      <c r="B16" s="153">
        <v>1</v>
      </c>
      <c r="C16" s="76" t="s">
        <v>177</v>
      </c>
      <c r="D16" s="164">
        <v>1.5</v>
      </c>
      <c r="E16" s="40">
        <f t="shared" ref="E16:E17" si="0">D16*B16</f>
        <v>1.5</v>
      </c>
    </row>
    <row r="17" spans="2:5" ht="15.75" thickBot="1" x14ac:dyDescent="0.3">
      <c r="B17" s="153">
        <v>1</v>
      </c>
      <c r="C17" s="76" t="s">
        <v>67</v>
      </c>
      <c r="D17" s="164">
        <v>10</v>
      </c>
      <c r="E17" s="40">
        <f t="shared" si="0"/>
        <v>10</v>
      </c>
    </row>
    <row r="18" spans="2:5" ht="15.75" thickBot="1" x14ac:dyDescent="0.3">
      <c r="B18" s="170">
        <v>1</v>
      </c>
      <c r="C18" s="171" t="s">
        <v>179</v>
      </c>
      <c r="D18" s="174">
        <v>5</v>
      </c>
      <c r="E18" s="169">
        <f>D18*B18</f>
        <v>5</v>
      </c>
    </row>
    <row r="19" spans="2:5" ht="16.5" thickTop="1" thickBot="1" x14ac:dyDescent="0.3">
      <c r="B19" s="11"/>
      <c r="C19" s="57"/>
      <c r="D19" s="57"/>
      <c r="E19" s="173">
        <f>SUM(E15:E18)</f>
        <v>26.5</v>
      </c>
    </row>
    <row r="20" spans="2:5" ht="15.75" thickTop="1" x14ac:dyDescent="0.25">
      <c r="E20" s="50"/>
    </row>
    <row r="21" spans="2:5" x14ac:dyDescent="0.25">
      <c r="E21" s="50"/>
    </row>
    <row r="22" spans="2:5" ht="15.75" thickBot="1" x14ac:dyDescent="0.3">
      <c r="E22" s="50"/>
    </row>
    <row r="23" spans="2:5" ht="15.75" thickBot="1" x14ac:dyDescent="0.3">
      <c r="B23" s="202" t="s">
        <v>161</v>
      </c>
      <c r="C23" s="203"/>
      <c r="D23" s="204"/>
      <c r="E23" s="180">
        <v>85</v>
      </c>
    </row>
    <row r="24" spans="2:5" ht="28.5" thickTop="1" thickBot="1" x14ac:dyDescent="0.3">
      <c r="B24" s="178" t="s">
        <v>148</v>
      </c>
      <c r="C24" s="179" t="s">
        <v>65</v>
      </c>
      <c r="D24" s="179" t="s">
        <v>149</v>
      </c>
      <c r="E24" s="178" t="s">
        <v>150</v>
      </c>
    </row>
    <row r="25" spans="2:5" ht="28.5" thickTop="1" thickBot="1" x14ac:dyDescent="0.3">
      <c r="B25" s="159">
        <v>1</v>
      </c>
      <c r="C25" s="160" t="s">
        <v>70</v>
      </c>
      <c r="D25" s="163">
        <v>15</v>
      </c>
      <c r="E25" s="165">
        <f>D25*B25</f>
        <v>15</v>
      </c>
    </row>
    <row r="26" spans="2:5" ht="15.75" thickBot="1" x14ac:dyDescent="0.3">
      <c r="B26" s="153">
        <v>1</v>
      </c>
      <c r="C26" s="76" t="s">
        <v>67</v>
      </c>
      <c r="D26" s="164">
        <v>20</v>
      </c>
      <c r="E26" s="40">
        <f>D26*B26</f>
        <v>20</v>
      </c>
    </row>
    <row r="27" spans="2:5" ht="15.75" thickBot="1" x14ac:dyDescent="0.3">
      <c r="B27" s="166">
        <v>1</v>
      </c>
      <c r="C27" s="79" t="s">
        <v>71</v>
      </c>
      <c r="D27" s="167">
        <v>3</v>
      </c>
      <c r="E27" s="80">
        <f>B27*D27</f>
        <v>3</v>
      </c>
    </row>
    <row r="28" spans="2:5" ht="15.75" thickBot="1" x14ac:dyDescent="0.3">
      <c r="B28" s="170">
        <v>1</v>
      </c>
      <c r="C28" s="171" t="s">
        <v>179</v>
      </c>
      <c r="D28" s="174">
        <v>5</v>
      </c>
      <c r="E28" s="169">
        <f>D28*B28</f>
        <v>5</v>
      </c>
    </row>
    <row r="29" spans="2:5" ht="16.5" thickTop="1" thickBot="1" x14ac:dyDescent="0.3">
      <c r="B29" s="11"/>
      <c r="C29" s="57"/>
      <c r="D29" s="57"/>
      <c r="E29" s="173">
        <f>SUM(E25:E28)</f>
        <v>43</v>
      </c>
    </row>
    <row r="30" spans="2:5" ht="15.75" thickTop="1" x14ac:dyDescent="0.25">
      <c r="E30" s="50"/>
    </row>
    <row r="31" spans="2:5" x14ac:dyDescent="0.25">
      <c r="E31" s="50"/>
    </row>
    <row r="32" spans="2:5" ht="15.75" thickBot="1" x14ac:dyDescent="0.3">
      <c r="E32" s="50"/>
    </row>
    <row r="33" spans="2:5" ht="15.75" thickBot="1" x14ac:dyDescent="0.3">
      <c r="B33" s="202" t="s">
        <v>162</v>
      </c>
      <c r="C33" s="203"/>
      <c r="D33" s="204"/>
      <c r="E33" s="180">
        <v>150</v>
      </c>
    </row>
    <row r="34" spans="2:5" ht="28.5" thickTop="1" thickBot="1" x14ac:dyDescent="0.3">
      <c r="B34" s="178" t="s">
        <v>148</v>
      </c>
      <c r="C34" s="179" t="s">
        <v>65</v>
      </c>
      <c r="D34" s="179" t="s">
        <v>149</v>
      </c>
      <c r="E34" s="178" t="s">
        <v>150</v>
      </c>
    </row>
    <row r="35" spans="2:5" ht="28.5" thickTop="1" thickBot="1" x14ac:dyDescent="0.3">
      <c r="B35" s="159">
        <v>1</v>
      </c>
      <c r="C35" s="175" t="s">
        <v>72</v>
      </c>
      <c r="D35" s="176">
        <v>5</v>
      </c>
      <c r="E35" s="177">
        <f>B35*D35</f>
        <v>5</v>
      </c>
    </row>
    <row r="36" spans="2:5" ht="27.75" thickBot="1" x14ac:dyDescent="0.3">
      <c r="B36" s="155">
        <v>1</v>
      </c>
      <c r="C36" s="156" t="s">
        <v>70</v>
      </c>
      <c r="D36" s="168">
        <v>5</v>
      </c>
      <c r="E36" s="169">
        <f>D36*B35</f>
        <v>5</v>
      </c>
    </row>
    <row r="37" spans="2:5" ht="15.75" thickBot="1" x14ac:dyDescent="0.3">
      <c r="B37" s="153">
        <v>1</v>
      </c>
      <c r="C37" s="76" t="s">
        <v>73</v>
      </c>
      <c r="D37" s="164">
        <v>15</v>
      </c>
      <c r="E37" s="40">
        <f>B37*D37</f>
        <v>15</v>
      </c>
    </row>
    <row r="38" spans="2:5" ht="15.75" thickBot="1" x14ac:dyDescent="0.3">
      <c r="B38" s="153">
        <v>1</v>
      </c>
      <c r="C38" s="76" t="s">
        <v>67</v>
      </c>
      <c r="D38" s="164">
        <v>25</v>
      </c>
      <c r="E38" s="40">
        <f>D38*B38</f>
        <v>25</v>
      </c>
    </row>
    <row r="39" spans="2:5" ht="15.75" thickBot="1" x14ac:dyDescent="0.3">
      <c r="B39" s="170">
        <v>1</v>
      </c>
      <c r="C39" s="171" t="s">
        <v>179</v>
      </c>
      <c r="D39" s="174">
        <v>5</v>
      </c>
      <c r="E39" s="169">
        <f>D39*B39</f>
        <v>5</v>
      </c>
    </row>
    <row r="40" spans="2:5" ht="16.5" thickTop="1" thickBot="1" x14ac:dyDescent="0.3">
      <c r="B40" s="11"/>
      <c r="C40" s="57"/>
      <c r="D40" s="57"/>
      <c r="E40" s="173">
        <f>SUM(E35:E39)</f>
        <v>55</v>
      </c>
    </row>
    <row r="41" spans="2:5" ht="15.75" thickTop="1" x14ac:dyDescent="0.25"/>
    <row r="42" spans="2:5" ht="15.75" thickBot="1" x14ac:dyDescent="0.3"/>
    <row r="43" spans="2:5" ht="15.75" thickBot="1" x14ac:dyDescent="0.3">
      <c r="B43" s="199" t="s">
        <v>83</v>
      </c>
      <c r="C43" s="199"/>
      <c r="D43" s="199"/>
    </row>
    <row r="44" spans="2:5" ht="15.75" thickBot="1" x14ac:dyDescent="0.3">
      <c r="B44" s="201" t="s">
        <v>24</v>
      </c>
      <c r="C44" s="201"/>
      <c r="D44" s="40">
        <v>300</v>
      </c>
    </row>
    <row r="45" spans="2:5" ht="15.75" thickBot="1" x14ac:dyDescent="0.3">
      <c r="B45" s="201" t="s">
        <v>25</v>
      </c>
      <c r="C45" s="201"/>
      <c r="D45" s="40">
        <v>180</v>
      </c>
    </row>
    <row r="46" spans="2:5" ht="15.75" thickBot="1" x14ac:dyDescent="0.3">
      <c r="B46" s="201" t="s">
        <v>47</v>
      </c>
      <c r="C46" s="201"/>
      <c r="D46" s="40">
        <v>90</v>
      </c>
    </row>
    <row r="47" spans="2:5" ht="15.75" thickBot="1" x14ac:dyDescent="0.3">
      <c r="B47" s="201" t="s">
        <v>45</v>
      </c>
      <c r="C47" s="201"/>
      <c r="D47" s="40">
        <v>1210</v>
      </c>
    </row>
    <row r="48" spans="2:5" ht="15.75" thickBot="1" x14ac:dyDescent="0.3">
      <c r="B48" s="201" t="s">
        <v>46</v>
      </c>
      <c r="C48" s="201"/>
      <c r="D48" s="40">
        <v>310</v>
      </c>
    </row>
    <row r="49" spans="2:6" ht="15.75" thickBot="1" x14ac:dyDescent="0.3">
      <c r="B49" s="201" t="s">
        <v>74</v>
      </c>
      <c r="C49" s="201"/>
      <c r="D49" s="40">
        <f>PRESTAMO!G14</f>
        <v>884.38</v>
      </c>
    </row>
    <row r="50" spans="2:6" ht="15.75" thickBot="1" x14ac:dyDescent="0.3">
      <c r="B50" s="199" t="s">
        <v>163</v>
      </c>
      <c r="C50" s="199"/>
      <c r="D50" s="49">
        <f>SUM(D44:D49)</f>
        <v>2974.38</v>
      </c>
    </row>
    <row r="51" spans="2:6" ht="15.75" thickBot="1" x14ac:dyDescent="0.3"/>
    <row r="52" spans="2:6" ht="15.75" thickBot="1" x14ac:dyDescent="0.3">
      <c r="C52" s="205" t="s">
        <v>75</v>
      </c>
      <c r="D52" s="205"/>
      <c r="E52" s="205"/>
    </row>
    <row r="53" spans="2:6" ht="15.75" thickBot="1" x14ac:dyDescent="0.3">
      <c r="C53" s="201" t="s">
        <v>164</v>
      </c>
      <c r="D53" s="201"/>
      <c r="E53" s="40">
        <f>E3</f>
        <v>75</v>
      </c>
    </row>
    <row r="54" spans="2:6" ht="15.75" thickBot="1" x14ac:dyDescent="0.3">
      <c r="C54" s="201" t="s">
        <v>165</v>
      </c>
      <c r="D54" s="201"/>
      <c r="E54" s="40">
        <f>E13</f>
        <v>75</v>
      </c>
    </row>
    <row r="55" spans="2:6" ht="15.75" thickBot="1" x14ac:dyDescent="0.3">
      <c r="C55" s="201" t="s">
        <v>166</v>
      </c>
      <c r="D55" s="201"/>
      <c r="E55" s="40">
        <f>E23</f>
        <v>85</v>
      </c>
    </row>
    <row r="56" spans="2:6" ht="15.75" thickBot="1" x14ac:dyDescent="0.3">
      <c r="C56" s="201" t="s">
        <v>167</v>
      </c>
      <c r="D56" s="201"/>
      <c r="E56" s="40">
        <f>E33</f>
        <v>150</v>
      </c>
    </row>
    <row r="57" spans="2:6" x14ac:dyDescent="0.25">
      <c r="C57" s="18"/>
      <c r="D57" s="18"/>
      <c r="E57" s="18"/>
    </row>
    <row r="58" spans="2:6" ht="15.75" thickBot="1" x14ac:dyDescent="0.3">
      <c r="C58" s="18"/>
      <c r="D58" s="18"/>
      <c r="E58" s="18"/>
    </row>
    <row r="59" spans="2:6" ht="15.75" thickBot="1" x14ac:dyDescent="0.3">
      <c r="C59" s="205" t="s">
        <v>76</v>
      </c>
      <c r="D59" s="205"/>
      <c r="E59" s="205"/>
    </row>
    <row r="60" spans="2:6" ht="15.75" thickBot="1" x14ac:dyDescent="0.3">
      <c r="C60" s="201" t="s">
        <v>164</v>
      </c>
      <c r="D60" s="201"/>
      <c r="E60" s="40">
        <f>E53-E9</f>
        <v>53</v>
      </c>
      <c r="F60" s="81">
        <f>E60/E53</f>
        <v>0.70666666666666667</v>
      </c>
    </row>
    <row r="61" spans="2:6" ht="15.75" thickBot="1" x14ac:dyDescent="0.3">
      <c r="C61" s="201" t="s">
        <v>165</v>
      </c>
      <c r="D61" s="201"/>
      <c r="E61" s="40">
        <f>E54-E19</f>
        <v>48.5</v>
      </c>
      <c r="F61" s="81">
        <f t="shared" ref="F61:F63" si="1">E61/E54</f>
        <v>0.64666666666666661</v>
      </c>
    </row>
    <row r="62" spans="2:6" ht="15.75" thickBot="1" x14ac:dyDescent="0.3">
      <c r="C62" s="201" t="s">
        <v>166</v>
      </c>
      <c r="D62" s="201"/>
      <c r="E62" s="40">
        <f>E55-E29</f>
        <v>42</v>
      </c>
      <c r="F62" s="81">
        <f t="shared" si="1"/>
        <v>0.49411764705882355</v>
      </c>
    </row>
    <row r="63" spans="2:6" ht="15.75" thickBot="1" x14ac:dyDescent="0.3">
      <c r="C63" s="201" t="s">
        <v>167</v>
      </c>
      <c r="D63" s="201"/>
      <c r="E63" s="40">
        <f>E56-E40</f>
        <v>95</v>
      </c>
      <c r="F63" s="81">
        <f t="shared" si="1"/>
        <v>0.6333333333333333</v>
      </c>
    </row>
    <row r="65" spans="3:10" ht="15.75" thickBot="1" x14ac:dyDescent="0.3"/>
    <row r="66" spans="3:10" ht="21" customHeight="1" thickBot="1" x14ac:dyDescent="0.3">
      <c r="C66" s="199" t="s">
        <v>77</v>
      </c>
      <c r="D66" s="199"/>
      <c r="E66" s="199"/>
      <c r="F66" s="205" t="s">
        <v>78</v>
      </c>
      <c r="G66" s="205" t="s">
        <v>79</v>
      </c>
      <c r="H66" s="199" t="s">
        <v>80</v>
      </c>
      <c r="I66" s="205" t="s">
        <v>81</v>
      </c>
      <c r="J66" s="205" t="s">
        <v>82</v>
      </c>
    </row>
    <row r="67" spans="3:10" ht="21" customHeight="1" thickBot="1" x14ac:dyDescent="0.3">
      <c r="C67" s="199"/>
      <c r="D67" s="199"/>
      <c r="E67" s="199"/>
      <c r="F67" s="205"/>
      <c r="G67" s="205"/>
      <c r="H67" s="199"/>
      <c r="I67" s="205"/>
      <c r="J67" s="205"/>
    </row>
    <row r="68" spans="3:10" ht="15.75" thickBot="1" x14ac:dyDescent="0.3">
      <c r="C68" s="201" t="s">
        <v>164</v>
      </c>
      <c r="D68" s="201"/>
      <c r="E68" s="201"/>
      <c r="F68" s="42">
        <f>G68*4</f>
        <v>240</v>
      </c>
      <c r="G68" s="42">
        <f>'MATERIAL-INSUMOS'!F10</f>
        <v>60</v>
      </c>
      <c r="H68" s="40">
        <f>E3</f>
        <v>75</v>
      </c>
      <c r="I68" s="40">
        <f>F68*H68</f>
        <v>18000</v>
      </c>
      <c r="J68" s="40">
        <f>G68*H68</f>
        <v>4500</v>
      </c>
    </row>
    <row r="69" spans="3:10" ht="15.75" thickBot="1" x14ac:dyDescent="0.3">
      <c r="C69" s="201" t="s">
        <v>165</v>
      </c>
      <c r="D69" s="201"/>
      <c r="E69" s="201"/>
      <c r="F69" s="42">
        <f>G69*4</f>
        <v>240</v>
      </c>
      <c r="G69" s="42">
        <f>'MATERIAL-INSUMOS'!F20</f>
        <v>60</v>
      </c>
      <c r="H69" s="40">
        <f>E13</f>
        <v>75</v>
      </c>
      <c r="I69" s="40">
        <f t="shared" ref="I69:I71" si="2">F69*H69</f>
        <v>18000</v>
      </c>
      <c r="J69" s="40">
        <f>G69*H69</f>
        <v>4500</v>
      </c>
    </row>
    <row r="70" spans="3:10" ht="15.75" thickBot="1" x14ac:dyDescent="0.3">
      <c r="C70" s="201" t="s">
        <v>166</v>
      </c>
      <c r="D70" s="201"/>
      <c r="E70" s="201"/>
      <c r="F70" s="42">
        <f>G70*4</f>
        <v>120</v>
      </c>
      <c r="G70" s="42">
        <f>'MATERIAL-INSUMOS'!F30</f>
        <v>30</v>
      </c>
      <c r="H70" s="40">
        <f>E23</f>
        <v>85</v>
      </c>
      <c r="I70" s="40">
        <f t="shared" si="2"/>
        <v>10200</v>
      </c>
      <c r="J70" s="40">
        <f t="shared" ref="J70:J71" si="3">G70*H70</f>
        <v>2550</v>
      </c>
    </row>
    <row r="71" spans="3:10" ht="15.75" thickBot="1" x14ac:dyDescent="0.3">
      <c r="C71" s="201" t="s">
        <v>167</v>
      </c>
      <c r="D71" s="201"/>
      <c r="E71" s="201"/>
      <c r="F71" s="42">
        <f>G71*4</f>
        <v>40</v>
      </c>
      <c r="G71" s="42">
        <f>'MATERIAL-INSUMOS'!F41</f>
        <v>10</v>
      </c>
      <c r="H71" s="40">
        <f>E33</f>
        <v>150</v>
      </c>
      <c r="I71" s="40">
        <f t="shared" si="2"/>
        <v>6000</v>
      </c>
      <c r="J71" s="40">
        <f t="shared" si="3"/>
        <v>1500</v>
      </c>
    </row>
    <row r="72" spans="3:10" ht="15.75" thickBot="1" x14ac:dyDescent="0.3">
      <c r="F72" s="87">
        <f>SUM(F68:F71)</f>
        <v>640</v>
      </c>
      <c r="G72" s="87">
        <f>SUM(G68:G71)</f>
        <v>160</v>
      </c>
      <c r="H72" s="86"/>
      <c r="I72" s="49">
        <f>SUM(I68:I71)</f>
        <v>52200</v>
      </c>
      <c r="J72" s="49">
        <f>SUM(J68:J71)</f>
        <v>13050</v>
      </c>
    </row>
    <row r="73" spans="3:10" x14ac:dyDescent="0.25">
      <c r="H73" s="6"/>
    </row>
  </sheetData>
  <mergeCells count="32">
    <mergeCell ref="J66:J67"/>
    <mergeCell ref="C68:E68"/>
    <mergeCell ref="C71:E71"/>
    <mergeCell ref="C69:E69"/>
    <mergeCell ref="C70:E70"/>
    <mergeCell ref="C66:E67"/>
    <mergeCell ref="G66:G67"/>
    <mergeCell ref="C60:D60"/>
    <mergeCell ref="C61:D61"/>
    <mergeCell ref="H66:H67"/>
    <mergeCell ref="I66:I67"/>
    <mergeCell ref="C52:E52"/>
    <mergeCell ref="C54:D54"/>
    <mergeCell ref="C62:D62"/>
    <mergeCell ref="C63:D63"/>
    <mergeCell ref="F66:F67"/>
    <mergeCell ref="C56:D56"/>
    <mergeCell ref="C59:E59"/>
    <mergeCell ref="C53:D53"/>
    <mergeCell ref="C55:D55"/>
    <mergeCell ref="B50:C50"/>
    <mergeCell ref="B48:C48"/>
    <mergeCell ref="B3:D3"/>
    <mergeCell ref="B13:D13"/>
    <mergeCell ref="B23:D23"/>
    <mergeCell ref="B33:D33"/>
    <mergeCell ref="B43:D43"/>
    <mergeCell ref="B44:C44"/>
    <mergeCell ref="B45:C45"/>
    <mergeCell ref="B46:C46"/>
    <mergeCell ref="B47:C47"/>
    <mergeCell ref="B49:C4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2"/>
  <sheetViews>
    <sheetView zoomScale="120" zoomScaleNormal="120" workbookViewId="0">
      <selection activeCell="E36" sqref="E36"/>
    </sheetView>
  </sheetViews>
  <sheetFormatPr baseColWidth="10" defaultRowHeight="15" x14ac:dyDescent="0.25"/>
  <cols>
    <col min="1" max="1" width="11.42578125" style="5"/>
    <col min="2" max="2" width="35.42578125" style="5" bestFit="1" customWidth="1"/>
    <col min="3" max="15" width="11.42578125" style="5"/>
    <col min="16" max="25" width="11.42578125" style="3"/>
  </cols>
  <sheetData>
    <row r="3" spans="2:15" ht="15.75" thickBot="1" x14ac:dyDescent="0.3">
      <c r="B3" s="69" t="s">
        <v>84</v>
      </c>
    </row>
    <row r="4" spans="2:15" ht="15.75" thickBot="1" x14ac:dyDescent="0.3">
      <c r="B4" s="205" t="s">
        <v>85</v>
      </c>
      <c r="C4" s="205" t="s">
        <v>86</v>
      </c>
      <c r="D4" s="205" t="s">
        <v>87</v>
      </c>
      <c r="E4" s="205" t="s">
        <v>88</v>
      </c>
      <c r="F4" s="205" t="s">
        <v>89</v>
      </c>
      <c r="G4" s="205" t="s">
        <v>90</v>
      </c>
      <c r="H4" s="205" t="s">
        <v>91</v>
      </c>
      <c r="I4" s="205" t="s">
        <v>92</v>
      </c>
      <c r="J4" s="205" t="s">
        <v>93</v>
      </c>
      <c r="K4" s="205" t="s">
        <v>94</v>
      </c>
      <c r="L4" s="205" t="s">
        <v>95</v>
      </c>
      <c r="M4" s="205" t="s">
        <v>96</v>
      </c>
      <c r="N4" s="205" t="s">
        <v>97</v>
      </c>
    </row>
    <row r="5" spans="2:15" ht="15.75" thickBot="1" x14ac:dyDescent="0.3"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</row>
    <row r="6" spans="2:15" ht="15.75" thickBot="1" x14ac:dyDescent="0.3">
      <c r="B6" s="70" t="s">
        <v>98</v>
      </c>
      <c r="C6" s="40">
        <f>C32</f>
        <v>20780</v>
      </c>
      <c r="D6" s="40">
        <f t="shared" ref="D6:N6" si="0">D32</f>
        <v>20780</v>
      </c>
      <c r="E6" s="40">
        <f t="shared" si="0"/>
        <v>20780</v>
      </c>
      <c r="F6" s="40">
        <f t="shared" si="0"/>
        <v>20780</v>
      </c>
      <c r="G6" s="40">
        <f t="shared" si="0"/>
        <v>20780</v>
      </c>
      <c r="H6" s="40">
        <f t="shared" si="0"/>
        <v>20780</v>
      </c>
      <c r="I6" s="40">
        <f t="shared" si="0"/>
        <v>20780</v>
      </c>
      <c r="J6" s="40">
        <f t="shared" si="0"/>
        <v>20780</v>
      </c>
      <c r="K6" s="40">
        <f t="shared" si="0"/>
        <v>20780</v>
      </c>
      <c r="L6" s="40">
        <f t="shared" si="0"/>
        <v>20780</v>
      </c>
      <c r="M6" s="40">
        <f t="shared" si="0"/>
        <v>20780</v>
      </c>
      <c r="N6" s="40">
        <f t="shared" si="0"/>
        <v>20780</v>
      </c>
      <c r="O6" s="5" t="s">
        <v>99</v>
      </c>
    </row>
    <row r="7" spans="2:15" ht="15.75" thickBot="1" x14ac:dyDescent="0.3">
      <c r="B7" s="70" t="s">
        <v>100</v>
      </c>
      <c r="C7" s="40">
        <f>'INVERSION INICIAL'!$D$35</f>
        <v>310</v>
      </c>
      <c r="D7" s="40">
        <f>'INVERSION INICIAL'!$E$35</f>
        <v>220</v>
      </c>
      <c r="E7" s="40">
        <f>'INVERSION INICIAL'!$E$35</f>
        <v>220</v>
      </c>
      <c r="F7" s="40">
        <f>'INVERSION INICIAL'!$E$35</f>
        <v>220</v>
      </c>
      <c r="G7" s="40">
        <f>'INVERSION INICIAL'!$E$35</f>
        <v>220</v>
      </c>
      <c r="H7" s="40">
        <f>'INVERSION INICIAL'!$E$35</f>
        <v>220</v>
      </c>
      <c r="I7" s="40">
        <f>'INVERSION INICIAL'!$E$35</f>
        <v>220</v>
      </c>
      <c r="J7" s="40">
        <f>'INVERSION INICIAL'!$E$35</f>
        <v>220</v>
      </c>
      <c r="K7" s="40">
        <f>'INVERSION INICIAL'!$E$35</f>
        <v>220</v>
      </c>
      <c r="L7" s="40">
        <f>'INVERSION INICIAL'!$E$35</f>
        <v>220</v>
      </c>
      <c r="M7" s="40">
        <f>'INVERSION INICIAL'!$E$35</f>
        <v>220</v>
      </c>
      <c r="N7" s="40">
        <f>'INVERSION INICIAL'!$E$35</f>
        <v>220</v>
      </c>
    </row>
    <row r="8" spans="2:15" ht="15.75" thickBot="1" x14ac:dyDescent="0.3">
      <c r="B8" s="70" t="s">
        <v>101</v>
      </c>
      <c r="C8" s="40">
        <f>'INVERSION INICIAL'!$D$28</f>
        <v>1210</v>
      </c>
      <c r="D8" s="40">
        <f>'INVERSION INICIAL'!$D$28</f>
        <v>1210</v>
      </c>
      <c r="E8" s="40">
        <f>'INVERSION INICIAL'!$D$28</f>
        <v>1210</v>
      </c>
      <c r="F8" s="40">
        <f>'INVERSION INICIAL'!$D$28</f>
        <v>1210</v>
      </c>
      <c r="G8" s="40">
        <f>'INVERSION INICIAL'!$D$28</f>
        <v>1210</v>
      </c>
      <c r="H8" s="40">
        <f>'INVERSION INICIAL'!$D$28</f>
        <v>1210</v>
      </c>
      <c r="I8" s="40">
        <f>'INVERSION INICIAL'!$D$28</f>
        <v>1210</v>
      </c>
      <c r="J8" s="40">
        <f>'INVERSION INICIAL'!$D$28</f>
        <v>1210</v>
      </c>
      <c r="K8" s="40">
        <f>'INVERSION INICIAL'!$D$28</f>
        <v>1210</v>
      </c>
      <c r="L8" s="40">
        <f>'INVERSION INICIAL'!$D$28</f>
        <v>1210</v>
      </c>
      <c r="M8" s="40">
        <f>'INVERSION INICIAL'!$D$28</f>
        <v>1210</v>
      </c>
      <c r="N8" s="40">
        <f>'INVERSION INICIAL'!$D$28</f>
        <v>1210</v>
      </c>
    </row>
    <row r="9" spans="2:15" ht="15.75" thickBot="1" x14ac:dyDescent="0.3">
      <c r="B9" s="70" t="s">
        <v>102</v>
      </c>
      <c r="C9" s="40">
        <v>884.38</v>
      </c>
      <c r="D9" s="40">
        <v>884.38</v>
      </c>
      <c r="E9" s="40">
        <v>884.38</v>
      </c>
      <c r="F9" s="40">
        <v>884.38</v>
      </c>
      <c r="G9" s="40">
        <v>884.38</v>
      </c>
      <c r="H9" s="40">
        <v>884.38</v>
      </c>
      <c r="I9" s="40">
        <v>884.38</v>
      </c>
      <c r="J9" s="40">
        <v>884.38</v>
      </c>
      <c r="K9" s="40">
        <v>884.38</v>
      </c>
      <c r="L9" s="40">
        <v>884.38</v>
      </c>
      <c r="M9" s="40">
        <v>884.38</v>
      </c>
      <c r="N9" s="40">
        <v>884.38</v>
      </c>
    </row>
    <row r="10" spans="2:15" ht="15.75" thickBot="1" x14ac:dyDescent="0.3">
      <c r="B10" s="39"/>
      <c r="C10" s="206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8"/>
    </row>
    <row r="11" spans="2:15" ht="15.75" thickBot="1" x14ac:dyDescent="0.3">
      <c r="B11" s="47" t="s">
        <v>154</v>
      </c>
      <c r="C11" s="49">
        <f>SUM(C6:C10)</f>
        <v>23184.38</v>
      </c>
      <c r="D11" s="49">
        <f>SUM(D6:D10)</f>
        <v>23094.38</v>
      </c>
      <c r="E11" s="49">
        <f t="shared" ref="E11:N11" si="1">SUM(E6:E10)</f>
        <v>23094.38</v>
      </c>
      <c r="F11" s="49">
        <f t="shared" si="1"/>
        <v>23094.38</v>
      </c>
      <c r="G11" s="49">
        <f t="shared" si="1"/>
        <v>23094.38</v>
      </c>
      <c r="H11" s="49">
        <f t="shared" si="1"/>
        <v>23094.38</v>
      </c>
      <c r="I11" s="49">
        <f t="shared" si="1"/>
        <v>23094.38</v>
      </c>
      <c r="J11" s="49">
        <f t="shared" si="1"/>
        <v>23094.38</v>
      </c>
      <c r="K11" s="49">
        <f t="shared" si="1"/>
        <v>23094.38</v>
      </c>
      <c r="L11" s="49">
        <f t="shared" si="1"/>
        <v>23094.38</v>
      </c>
      <c r="M11" s="49">
        <f t="shared" si="1"/>
        <v>23094.38</v>
      </c>
      <c r="N11" s="49">
        <f t="shared" si="1"/>
        <v>23094.38</v>
      </c>
    </row>
    <row r="13" spans="2:15" x14ac:dyDescent="0.25">
      <c r="I13" s="71"/>
    </row>
    <row r="14" spans="2:15" ht="15.75" thickBot="1" x14ac:dyDescent="0.3">
      <c r="B14" s="72" t="s">
        <v>103</v>
      </c>
      <c r="C14" s="73"/>
      <c r="D14" s="73"/>
      <c r="E14" s="73"/>
      <c r="I14" s="74"/>
      <c r="J14" s="74"/>
    </row>
    <row r="15" spans="2:15" ht="15.75" thickBot="1" x14ac:dyDescent="0.3">
      <c r="B15" s="205" t="s">
        <v>85</v>
      </c>
      <c r="C15" s="205" t="s">
        <v>86</v>
      </c>
      <c r="D15" s="205" t="s">
        <v>87</v>
      </c>
      <c r="E15" s="205" t="s">
        <v>88</v>
      </c>
      <c r="F15" s="205" t="s">
        <v>89</v>
      </c>
      <c r="G15" s="205" t="s">
        <v>90</v>
      </c>
      <c r="H15" s="205" t="s">
        <v>91</v>
      </c>
      <c r="I15" s="205" t="s">
        <v>92</v>
      </c>
      <c r="J15" s="205" t="s">
        <v>93</v>
      </c>
      <c r="K15" s="205" t="s">
        <v>94</v>
      </c>
      <c r="L15" s="205" t="s">
        <v>95</v>
      </c>
      <c r="M15" s="205" t="s">
        <v>96</v>
      </c>
      <c r="N15" s="205" t="s">
        <v>97</v>
      </c>
      <c r="O15" s="205" t="s">
        <v>104</v>
      </c>
    </row>
    <row r="16" spans="2:15" ht="15.75" thickBot="1" x14ac:dyDescent="0.3"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</row>
    <row r="17" spans="2:15" ht="15.75" thickBot="1" x14ac:dyDescent="0.3">
      <c r="B17" s="88" t="s">
        <v>105</v>
      </c>
      <c r="C17" s="40">
        <f>COSTOS!I72</f>
        <v>52200</v>
      </c>
      <c r="D17" s="40">
        <f t="shared" ref="D17:N17" si="2">+C17</f>
        <v>52200</v>
      </c>
      <c r="E17" s="40">
        <f>+D17</f>
        <v>52200</v>
      </c>
      <c r="F17" s="40">
        <f t="shared" si="2"/>
        <v>52200</v>
      </c>
      <c r="G17" s="40">
        <f t="shared" si="2"/>
        <v>52200</v>
      </c>
      <c r="H17" s="40">
        <f t="shared" si="2"/>
        <v>52200</v>
      </c>
      <c r="I17" s="40">
        <f t="shared" si="2"/>
        <v>52200</v>
      </c>
      <c r="J17" s="40">
        <f t="shared" si="2"/>
        <v>52200</v>
      </c>
      <c r="K17" s="40">
        <f t="shared" si="2"/>
        <v>52200</v>
      </c>
      <c r="L17" s="40">
        <f t="shared" si="2"/>
        <v>52200</v>
      </c>
      <c r="M17" s="40">
        <f t="shared" si="2"/>
        <v>52200</v>
      </c>
      <c r="N17" s="40">
        <f t="shared" si="2"/>
        <v>52200</v>
      </c>
      <c r="O17" s="40">
        <f t="shared" ref="O17:O24" si="3">SUM(C17:N17)</f>
        <v>626400</v>
      </c>
    </row>
    <row r="18" spans="2:15" ht="15.75" thickBot="1" x14ac:dyDescent="0.3">
      <c r="B18" s="88" t="s">
        <v>106</v>
      </c>
      <c r="C18" s="40">
        <f>$C$6</f>
        <v>20780</v>
      </c>
      <c r="D18" s="40">
        <f t="shared" ref="D18:N18" si="4">$C$6</f>
        <v>20780</v>
      </c>
      <c r="E18" s="40">
        <f t="shared" si="4"/>
        <v>20780</v>
      </c>
      <c r="F18" s="40">
        <f t="shared" si="4"/>
        <v>20780</v>
      </c>
      <c r="G18" s="40">
        <f t="shared" si="4"/>
        <v>20780</v>
      </c>
      <c r="H18" s="40">
        <f t="shared" si="4"/>
        <v>20780</v>
      </c>
      <c r="I18" s="40">
        <f t="shared" si="4"/>
        <v>20780</v>
      </c>
      <c r="J18" s="40">
        <f t="shared" si="4"/>
        <v>20780</v>
      </c>
      <c r="K18" s="40">
        <f t="shared" si="4"/>
        <v>20780</v>
      </c>
      <c r="L18" s="40">
        <f t="shared" si="4"/>
        <v>20780</v>
      </c>
      <c r="M18" s="40">
        <f t="shared" si="4"/>
        <v>20780</v>
      </c>
      <c r="N18" s="40">
        <f t="shared" si="4"/>
        <v>20780</v>
      </c>
      <c r="O18" s="40">
        <f t="shared" si="3"/>
        <v>249360</v>
      </c>
    </row>
    <row r="19" spans="2:15" ht="15.75" thickBot="1" x14ac:dyDescent="0.3">
      <c r="B19" s="89" t="s">
        <v>107</v>
      </c>
      <c r="C19" s="90">
        <f>C17-C18</f>
        <v>31420</v>
      </c>
      <c r="D19" s="90">
        <f t="shared" ref="D19:N19" si="5">D17-D18</f>
        <v>31420</v>
      </c>
      <c r="E19" s="90">
        <f t="shared" si="5"/>
        <v>31420</v>
      </c>
      <c r="F19" s="90">
        <f t="shared" si="5"/>
        <v>31420</v>
      </c>
      <c r="G19" s="90">
        <f t="shared" si="5"/>
        <v>31420</v>
      </c>
      <c r="H19" s="90">
        <f t="shared" si="5"/>
        <v>31420</v>
      </c>
      <c r="I19" s="90">
        <f t="shared" si="5"/>
        <v>31420</v>
      </c>
      <c r="J19" s="90">
        <f t="shared" si="5"/>
        <v>31420</v>
      </c>
      <c r="K19" s="90">
        <f t="shared" si="5"/>
        <v>31420</v>
      </c>
      <c r="L19" s="90">
        <f t="shared" si="5"/>
        <v>31420</v>
      </c>
      <c r="M19" s="90">
        <f t="shared" si="5"/>
        <v>31420</v>
      </c>
      <c r="N19" s="90">
        <f t="shared" si="5"/>
        <v>31420</v>
      </c>
      <c r="O19" s="90">
        <f t="shared" si="3"/>
        <v>377040</v>
      </c>
    </row>
    <row r="20" spans="2:15" ht="15.75" thickBot="1" x14ac:dyDescent="0.3">
      <c r="B20" s="88" t="s">
        <v>100</v>
      </c>
      <c r="C20" s="40">
        <f>+C7+250</f>
        <v>560</v>
      </c>
      <c r="D20" s="40">
        <v>250</v>
      </c>
      <c r="E20" s="40">
        <v>250</v>
      </c>
      <c r="F20" s="40">
        <v>250</v>
      </c>
      <c r="G20" s="40">
        <v>250</v>
      </c>
      <c r="H20" s="40">
        <v>250</v>
      </c>
      <c r="I20" s="40">
        <v>250</v>
      </c>
      <c r="J20" s="40">
        <v>250</v>
      </c>
      <c r="K20" s="40">
        <v>250</v>
      </c>
      <c r="L20" s="40">
        <v>250</v>
      </c>
      <c r="M20" s="40">
        <v>250</v>
      </c>
      <c r="N20" s="40">
        <v>250</v>
      </c>
      <c r="O20" s="40">
        <f>SUM(C20:N20)</f>
        <v>3310</v>
      </c>
    </row>
    <row r="21" spans="2:15" ht="15.75" thickBot="1" x14ac:dyDescent="0.3">
      <c r="B21" s="88" t="s">
        <v>108</v>
      </c>
      <c r="C21" s="40">
        <f>PLANILLA!$F$5</f>
        <v>1210</v>
      </c>
      <c r="D21" s="40">
        <f>PLANILLA!$F$5</f>
        <v>1210</v>
      </c>
      <c r="E21" s="40">
        <f>PLANILLA!$F$5</f>
        <v>1210</v>
      </c>
      <c r="F21" s="40">
        <f>PLANILLA!$F$5</f>
        <v>1210</v>
      </c>
      <c r="G21" s="40">
        <f>PLANILLA!$F$5</f>
        <v>1210</v>
      </c>
      <c r="H21" s="40">
        <f>PLANILLA!$F$5</f>
        <v>1210</v>
      </c>
      <c r="I21" s="40">
        <f>PLANILLA!$F$5</f>
        <v>1210</v>
      </c>
      <c r="J21" s="40">
        <f>PLANILLA!$F$5</f>
        <v>1210</v>
      </c>
      <c r="K21" s="40">
        <f>PLANILLA!$F$5</f>
        <v>1210</v>
      </c>
      <c r="L21" s="40">
        <f>PLANILLA!$F$5</f>
        <v>1210</v>
      </c>
      <c r="M21" s="40">
        <f>PLANILLA!$F$5</f>
        <v>1210</v>
      </c>
      <c r="N21" s="40">
        <f>PLANILLA!$F$5</f>
        <v>1210</v>
      </c>
      <c r="O21" s="40">
        <f>SUM(C21:N21)</f>
        <v>14520</v>
      </c>
    </row>
    <row r="22" spans="2:15" ht="15.75" thickBot="1" x14ac:dyDescent="0.3">
      <c r="B22" s="89" t="s">
        <v>109</v>
      </c>
      <c r="C22" s="90">
        <f>C19-C20-C21</f>
        <v>29650</v>
      </c>
      <c r="D22" s="90">
        <f>D19-D20-D21</f>
        <v>29960</v>
      </c>
      <c r="E22" s="90">
        <f t="shared" ref="E22:N22" si="6">E19-E20-E21</f>
        <v>29960</v>
      </c>
      <c r="F22" s="90">
        <f t="shared" si="6"/>
        <v>29960</v>
      </c>
      <c r="G22" s="90">
        <f t="shared" si="6"/>
        <v>29960</v>
      </c>
      <c r="H22" s="90">
        <f t="shared" si="6"/>
        <v>29960</v>
      </c>
      <c r="I22" s="90">
        <f t="shared" si="6"/>
        <v>29960</v>
      </c>
      <c r="J22" s="90">
        <f t="shared" si="6"/>
        <v>29960</v>
      </c>
      <c r="K22" s="90">
        <f t="shared" si="6"/>
        <v>29960</v>
      </c>
      <c r="L22" s="90">
        <f t="shared" si="6"/>
        <v>29960</v>
      </c>
      <c r="M22" s="90">
        <f t="shared" si="6"/>
        <v>29960</v>
      </c>
      <c r="N22" s="90">
        <f t="shared" si="6"/>
        <v>29960</v>
      </c>
      <c r="O22" s="90">
        <f t="shared" si="3"/>
        <v>359210</v>
      </c>
    </row>
    <row r="23" spans="2:15" ht="15.75" thickBot="1" x14ac:dyDescent="0.3">
      <c r="B23" s="88" t="s">
        <v>102</v>
      </c>
      <c r="C23" s="40">
        <f>C9</f>
        <v>884.38</v>
      </c>
      <c r="D23" s="40">
        <f t="shared" ref="D23:N23" si="7">D9</f>
        <v>884.38</v>
      </c>
      <c r="E23" s="40">
        <f t="shared" si="7"/>
        <v>884.38</v>
      </c>
      <c r="F23" s="40">
        <f t="shared" si="7"/>
        <v>884.38</v>
      </c>
      <c r="G23" s="40">
        <f t="shared" si="7"/>
        <v>884.38</v>
      </c>
      <c r="H23" s="40">
        <f t="shared" si="7"/>
        <v>884.38</v>
      </c>
      <c r="I23" s="40">
        <f t="shared" si="7"/>
        <v>884.38</v>
      </c>
      <c r="J23" s="40">
        <f t="shared" si="7"/>
        <v>884.38</v>
      </c>
      <c r="K23" s="40">
        <f t="shared" si="7"/>
        <v>884.38</v>
      </c>
      <c r="L23" s="40">
        <f t="shared" si="7"/>
        <v>884.38</v>
      </c>
      <c r="M23" s="40">
        <f t="shared" si="7"/>
        <v>884.38</v>
      </c>
      <c r="N23" s="40">
        <f t="shared" si="7"/>
        <v>884.38</v>
      </c>
      <c r="O23" s="40">
        <f>SUM(C23:N23)</f>
        <v>10612.559999999998</v>
      </c>
    </row>
    <row r="24" spans="2:15" ht="15.75" thickBot="1" x14ac:dyDescent="0.3">
      <c r="B24" s="89" t="s">
        <v>110</v>
      </c>
      <c r="C24" s="90">
        <f>C22-C23</f>
        <v>28765.62</v>
      </c>
      <c r="D24" s="90">
        <f t="shared" ref="D24:N24" si="8">D22-D23</f>
        <v>29075.62</v>
      </c>
      <c r="E24" s="90">
        <f t="shared" si="8"/>
        <v>29075.62</v>
      </c>
      <c r="F24" s="90">
        <f t="shared" si="8"/>
        <v>29075.62</v>
      </c>
      <c r="G24" s="90">
        <f t="shared" si="8"/>
        <v>29075.62</v>
      </c>
      <c r="H24" s="90">
        <f t="shared" si="8"/>
        <v>29075.62</v>
      </c>
      <c r="I24" s="90">
        <f t="shared" si="8"/>
        <v>29075.62</v>
      </c>
      <c r="J24" s="90">
        <f t="shared" si="8"/>
        <v>29075.62</v>
      </c>
      <c r="K24" s="90">
        <f t="shared" si="8"/>
        <v>29075.62</v>
      </c>
      <c r="L24" s="90">
        <f t="shared" si="8"/>
        <v>29075.62</v>
      </c>
      <c r="M24" s="90">
        <f t="shared" si="8"/>
        <v>29075.62</v>
      </c>
      <c r="N24" s="90">
        <f t="shared" si="8"/>
        <v>29075.62</v>
      </c>
      <c r="O24" s="90">
        <f t="shared" si="3"/>
        <v>348597.44</v>
      </c>
    </row>
    <row r="25" spans="2:15" ht="15.75" thickBot="1" x14ac:dyDescent="0.3">
      <c r="B25" s="88" t="s">
        <v>111</v>
      </c>
      <c r="C25" s="40">
        <f>C24*0.3</f>
        <v>8629.6859999999997</v>
      </c>
      <c r="D25" s="40">
        <f t="shared" ref="D25:N25" si="9">D24*0.3</f>
        <v>8722.6859999999997</v>
      </c>
      <c r="E25" s="40">
        <f t="shared" si="9"/>
        <v>8722.6859999999997</v>
      </c>
      <c r="F25" s="40">
        <f t="shared" si="9"/>
        <v>8722.6859999999997</v>
      </c>
      <c r="G25" s="40">
        <f t="shared" si="9"/>
        <v>8722.6859999999997</v>
      </c>
      <c r="H25" s="40">
        <f t="shared" si="9"/>
        <v>8722.6859999999997</v>
      </c>
      <c r="I25" s="40">
        <f t="shared" si="9"/>
        <v>8722.6859999999997</v>
      </c>
      <c r="J25" s="40">
        <f t="shared" si="9"/>
        <v>8722.6859999999997</v>
      </c>
      <c r="K25" s="40">
        <f t="shared" si="9"/>
        <v>8722.6859999999997</v>
      </c>
      <c r="L25" s="40">
        <f t="shared" si="9"/>
        <v>8722.6859999999997</v>
      </c>
      <c r="M25" s="40">
        <f t="shared" si="9"/>
        <v>8722.6859999999997</v>
      </c>
      <c r="N25" s="40">
        <f t="shared" si="9"/>
        <v>8722.6859999999997</v>
      </c>
      <c r="O25" s="40">
        <f>O24*0.3</f>
        <v>104579.232</v>
      </c>
    </row>
    <row r="26" spans="2:15" ht="15.75" thickBot="1" x14ac:dyDescent="0.3">
      <c r="B26" s="89" t="s">
        <v>112</v>
      </c>
      <c r="C26" s="90">
        <f>+C24-C25</f>
        <v>20135.934000000001</v>
      </c>
      <c r="D26" s="90">
        <f>+D24-D25</f>
        <v>20352.934000000001</v>
      </c>
      <c r="E26" s="90">
        <f t="shared" ref="E26:N26" si="10">+E24-E25</f>
        <v>20352.934000000001</v>
      </c>
      <c r="F26" s="90">
        <f t="shared" si="10"/>
        <v>20352.934000000001</v>
      </c>
      <c r="G26" s="90">
        <f t="shared" si="10"/>
        <v>20352.934000000001</v>
      </c>
      <c r="H26" s="90">
        <f t="shared" si="10"/>
        <v>20352.934000000001</v>
      </c>
      <c r="I26" s="90">
        <f t="shared" si="10"/>
        <v>20352.934000000001</v>
      </c>
      <c r="J26" s="90">
        <f t="shared" si="10"/>
        <v>20352.934000000001</v>
      </c>
      <c r="K26" s="90">
        <f t="shared" si="10"/>
        <v>20352.934000000001</v>
      </c>
      <c r="L26" s="90">
        <f t="shared" si="10"/>
        <v>20352.934000000001</v>
      </c>
      <c r="M26" s="90">
        <f t="shared" si="10"/>
        <v>20352.934000000001</v>
      </c>
      <c r="N26" s="90">
        <f t="shared" si="10"/>
        <v>20352.934000000001</v>
      </c>
      <c r="O26" s="90">
        <f>SUM(C26:N26)</f>
        <v>244018.20800000007</v>
      </c>
    </row>
    <row r="28" spans="2:15" ht="15.75" thickBot="1" x14ac:dyDescent="0.3"/>
    <row r="29" spans="2:15" ht="15.75" thickBot="1" x14ac:dyDescent="0.3">
      <c r="B29" s="88" t="s">
        <v>113</v>
      </c>
      <c r="C29" s="40">
        <f>'MATERIAL-INSUMOS'!$F$45</f>
        <v>19000</v>
      </c>
      <c r="D29" s="40">
        <f>'MATERIAL-INSUMOS'!$F$45</f>
        <v>19000</v>
      </c>
      <c r="E29" s="40">
        <f>'MATERIAL-INSUMOS'!$F$45</f>
        <v>19000</v>
      </c>
      <c r="F29" s="40">
        <f>'MATERIAL-INSUMOS'!$F$45</f>
        <v>19000</v>
      </c>
      <c r="G29" s="40">
        <f>'MATERIAL-INSUMOS'!$F$45</f>
        <v>19000</v>
      </c>
      <c r="H29" s="40">
        <f>'MATERIAL-INSUMOS'!$F$45</f>
        <v>19000</v>
      </c>
      <c r="I29" s="40">
        <f>'MATERIAL-INSUMOS'!$F$45</f>
        <v>19000</v>
      </c>
      <c r="J29" s="40">
        <f>'MATERIAL-INSUMOS'!$F$45</f>
        <v>19000</v>
      </c>
      <c r="K29" s="40">
        <f>'MATERIAL-INSUMOS'!$F$45</f>
        <v>19000</v>
      </c>
      <c r="L29" s="40">
        <f>'MATERIAL-INSUMOS'!$F$45</f>
        <v>19000</v>
      </c>
      <c r="M29" s="40">
        <f>'MATERIAL-INSUMOS'!$F$45</f>
        <v>19000</v>
      </c>
      <c r="N29" s="40">
        <f>'MATERIAL-INSUMOS'!$F$45</f>
        <v>19000</v>
      </c>
    </row>
    <row r="30" spans="2:15" ht="15.75" thickBot="1" x14ac:dyDescent="0.3">
      <c r="B30" s="39" t="s">
        <v>27</v>
      </c>
      <c r="C30" s="40">
        <f>PLANILLA!$F$5</f>
        <v>1210</v>
      </c>
      <c r="D30" s="40">
        <f>PLANILLA!$F$5</f>
        <v>1210</v>
      </c>
      <c r="E30" s="40">
        <f>PLANILLA!$F$5</f>
        <v>1210</v>
      </c>
      <c r="F30" s="40">
        <f>PLANILLA!$F$5</f>
        <v>1210</v>
      </c>
      <c r="G30" s="40">
        <f>PLANILLA!$F$5</f>
        <v>1210</v>
      </c>
      <c r="H30" s="40">
        <f>PLANILLA!$F$5</f>
        <v>1210</v>
      </c>
      <c r="I30" s="40">
        <f>PLANILLA!$F$5</f>
        <v>1210</v>
      </c>
      <c r="J30" s="40">
        <f>PLANILLA!$F$5</f>
        <v>1210</v>
      </c>
      <c r="K30" s="40">
        <f>PLANILLA!$F$5</f>
        <v>1210</v>
      </c>
      <c r="L30" s="40">
        <f>PLANILLA!$F$5</f>
        <v>1210</v>
      </c>
      <c r="M30" s="40">
        <f>PLANILLA!$F$5</f>
        <v>1210</v>
      </c>
      <c r="N30" s="40">
        <f>PLANILLA!$F$5</f>
        <v>1210</v>
      </c>
    </row>
    <row r="31" spans="2:15" ht="15.75" thickBot="1" x14ac:dyDescent="0.3">
      <c r="B31" s="39" t="s">
        <v>23</v>
      </c>
      <c r="C31" s="40">
        <f>'INVERSION INICIAL'!$E$22</f>
        <v>570</v>
      </c>
      <c r="D31" s="40">
        <f>'INVERSION INICIAL'!$E$22</f>
        <v>570</v>
      </c>
      <c r="E31" s="40">
        <f>'INVERSION INICIAL'!$E$22</f>
        <v>570</v>
      </c>
      <c r="F31" s="40">
        <f>'INVERSION INICIAL'!$E$22</f>
        <v>570</v>
      </c>
      <c r="G31" s="40">
        <f>'INVERSION INICIAL'!$E$22</f>
        <v>570</v>
      </c>
      <c r="H31" s="40">
        <f>'INVERSION INICIAL'!$E$22</f>
        <v>570</v>
      </c>
      <c r="I31" s="40">
        <f>'INVERSION INICIAL'!$E$22</f>
        <v>570</v>
      </c>
      <c r="J31" s="40">
        <f>'INVERSION INICIAL'!$E$22</f>
        <v>570</v>
      </c>
      <c r="K31" s="40">
        <f>'INVERSION INICIAL'!$E$22</f>
        <v>570</v>
      </c>
      <c r="L31" s="40">
        <f>'INVERSION INICIAL'!$E$22</f>
        <v>570</v>
      </c>
      <c r="M31" s="40">
        <f>'INVERSION INICIAL'!$E$22</f>
        <v>570</v>
      </c>
      <c r="N31" s="40">
        <f>'INVERSION INICIAL'!$E$22</f>
        <v>570</v>
      </c>
    </row>
    <row r="32" spans="2:15" ht="15.75" thickBot="1" x14ac:dyDescent="0.3">
      <c r="B32" s="91" t="s">
        <v>114</v>
      </c>
      <c r="C32" s="49">
        <f>SUM(C29:C31)</f>
        <v>20780</v>
      </c>
      <c r="D32" s="49">
        <f t="shared" ref="D32:N32" si="11">SUM(D29:D31)</f>
        <v>20780</v>
      </c>
      <c r="E32" s="49">
        <f t="shared" si="11"/>
        <v>20780</v>
      </c>
      <c r="F32" s="49">
        <f t="shared" si="11"/>
        <v>20780</v>
      </c>
      <c r="G32" s="49">
        <f t="shared" si="11"/>
        <v>20780</v>
      </c>
      <c r="H32" s="49">
        <f t="shared" si="11"/>
        <v>20780</v>
      </c>
      <c r="I32" s="49">
        <f t="shared" si="11"/>
        <v>20780</v>
      </c>
      <c r="J32" s="49">
        <f t="shared" si="11"/>
        <v>20780</v>
      </c>
      <c r="K32" s="49">
        <f t="shared" si="11"/>
        <v>20780</v>
      </c>
      <c r="L32" s="49">
        <f t="shared" si="11"/>
        <v>20780</v>
      </c>
      <c r="M32" s="49">
        <f t="shared" si="11"/>
        <v>20780</v>
      </c>
      <c r="N32" s="49">
        <f t="shared" si="11"/>
        <v>20780</v>
      </c>
    </row>
  </sheetData>
  <mergeCells count="28">
    <mergeCell ref="C10:N10"/>
    <mergeCell ref="K15:K16"/>
    <mergeCell ref="L15:L16"/>
    <mergeCell ref="M15:M16"/>
    <mergeCell ref="N15:N16"/>
    <mergeCell ref="O15:O16"/>
    <mergeCell ref="N4:N5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H4:H5"/>
    <mergeCell ref="I4:I5"/>
    <mergeCell ref="J4:J5"/>
    <mergeCell ref="K4:K5"/>
    <mergeCell ref="L4:L5"/>
    <mergeCell ref="M4:M5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zoomScale="110" zoomScaleNormal="110" zoomScaleSheetLayoutView="100" workbookViewId="0">
      <selection activeCell="Q13" sqref="Q13"/>
    </sheetView>
  </sheetViews>
  <sheetFormatPr baseColWidth="10" defaultRowHeight="15" x14ac:dyDescent="0.25"/>
  <cols>
    <col min="1" max="1" width="2.5703125" style="5" customWidth="1"/>
    <col min="2" max="2" width="24.85546875" style="50" bestFit="1" customWidth="1"/>
    <col min="3" max="3" width="10" style="50" customWidth="1"/>
    <col min="4" max="4" width="11.42578125" style="50"/>
    <col min="5" max="6" width="13.140625" style="50" bestFit="1" customWidth="1"/>
    <col min="7" max="11" width="11.42578125" style="50"/>
    <col min="12" max="12" width="14" style="50" bestFit="1" customWidth="1"/>
    <col min="13" max="15" width="11.42578125" style="50"/>
    <col min="16" max="22" width="11.42578125" style="5"/>
    <col min="23" max="23" width="11.42578125" style="37"/>
  </cols>
  <sheetData>
    <row r="1" spans="2:15" ht="15.75" thickBot="1" x14ac:dyDescent="0.3"/>
    <row r="2" spans="2:15" ht="15.75" x14ac:dyDescent="0.25">
      <c r="B2" s="209" t="s">
        <v>116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1"/>
    </row>
    <row r="3" spans="2:15" ht="15.75" x14ac:dyDescent="0.25">
      <c r="B3" s="212" t="s">
        <v>129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4"/>
    </row>
    <row r="4" spans="2:15" ht="16.5" thickBot="1" x14ac:dyDescent="0.3">
      <c r="B4" s="215" t="s">
        <v>117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7"/>
    </row>
    <row r="5" spans="2:15" ht="15.75" thickBot="1" x14ac:dyDescent="0.3"/>
    <row r="6" spans="2:15" ht="15.75" thickBot="1" x14ac:dyDescent="0.3">
      <c r="B6" s="47" t="s">
        <v>56</v>
      </c>
      <c r="C6" s="47">
        <v>0</v>
      </c>
      <c r="D6" s="47">
        <v>1</v>
      </c>
      <c r="E6" s="47">
        <v>2</v>
      </c>
      <c r="F6" s="47">
        <v>3</v>
      </c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</row>
    <row r="7" spans="2:15" ht="15.75" thickBot="1" x14ac:dyDescent="0.3">
      <c r="B7" s="44" t="s">
        <v>118</v>
      </c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</row>
    <row r="8" spans="2:15" ht="15.75" thickBot="1" x14ac:dyDescent="0.3">
      <c r="B8" s="76" t="s">
        <v>119</v>
      </c>
      <c r="C8" s="43"/>
      <c r="D8" s="40">
        <f>'ESTADO PG'!C17</f>
        <v>52200</v>
      </c>
      <c r="E8" s="40">
        <f>'ESTADO PG'!D17+D22</f>
        <v>81215.61</v>
      </c>
      <c r="F8" s="40">
        <f>'ESTADO PG'!E17+E22</f>
        <v>110321.23000000001</v>
      </c>
      <c r="G8" s="40">
        <f>'ESTADO PG'!F17+F22</f>
        <v>139426.85</v>
      </c>
      <c r="H8" s="40">
        <f>'ESTADO PG'!G17+G22</f>
        <v>168532.47</v>
      </c>
      <c r="I8" s="40">
        <f>'ESTADO PG'!H17+H22</f>
        <v>197638.08</v>
      </c>
      <c r="J8" s="40">
        <f>'ESTADO PG'!I17+I22</f>
        <v>225533.69999999998</v>
      </c>
      <c r="K8" s="40">
        <f>'ESTADO PG'!J17+J22</f>
        <v>254639.31999999998</v>
      </c>
      <c r="L8" s="40">
        <f>'ESTADO PG'!K17+K22</f>
        <v>283744.92999999993</v>
      </c>
      <c r="M8" s="40">
        <f>'ESTADO PG'!L17+L22</f>
        <v>312850.54999999993</v>
      </c>
      <c r="N8" s="40">
        <f>'ESTADO PG'!M17+M22</f>
        <v>341956.16999999993</v>
      </c>
      <c r="O8" s="40">
        <f>'ESTADO PG'!N17+N22</f>
        <v>371061.77999999991</v>
      </c>
    </row>
    <row r="9" spans="2:15" ht="15.75" thickBot="1" x14ac:dyDescent="0.3">
      <c r="B9" s="84" t="s">
        <v>120</v>
      </c>
      <c r="C9" s="83"/>
      <c r="D9" s="82">
        <f>D8</f>
        <v>52200</v>
      </c>
      <c r="E9" s="82">
        <f t="shared" ref="E9:O9" si="0">E8</f>
        <v>81215.61</v>
      </c>
      <c r="F9" s="82">
        <f t="shared" si="0"/>
        <v>110321.23000000001</v>
      </c>
      <c r="G9" s="82">
        <f t="shared" si="0"/>
        <v>139426.85</v>
      </c>
      <c r="H9" s="82">
        <f t="shared" si="0"/>
        <v>168532.47</v>
      </c>
      <c r="I9" s="82">
        <f t="shared" si="0"/>
        <v>197638.08</v>
      </c>
      <c r="J9" s="82">
        <f t="shared" si="0"/>
        <v>225533.69999999998</v>
      </c>
      <c r="K9" s="82">
        <f t="shared" si="0"/>
        <v>254639.31999999998</v>
      </c>
      <c r="L9" s="82">
        <f t="shared" si="0"/>
        <v>283744.92999999993</v>
      </c>
      <c r="M9" s="82">
        <f t="shared" si="0"/>
        <v>312850.54999999993</v>
      </c>
      <c r="N9" s="82">
        <f t="shared" si="0"/>
        <v>341956.16999999993</v>
      </c>
      <c r="O9" s="82">
        <f t="shared" si="0"/>
        <v>371061.77999999991</v>
      </c>
    </row>
    <row r="10" spans="2:15" ht="15.75" thickBot="1" x14ac:dyDescent="0.3">
      <c r="B10" s="44" t="s">
        <v>121</v>
      </c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</row>
    <row r="11" spans="2:15" ht="15.75" thickBot="1" x14ac:dyDescent="0.3">
      <c r="B11" s="75" t="s">
        <v>11</v>
      </c>
      <c r="C11" s="45">
        <f>'INVERSION INICIAL'!J44</f>
        <v>11226</v>
      </c>
      <c r="D11" s="220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2"/>
    </row>
    <row r="12" spans="2:15" ht="15.75" thickBot="1" x14ac:dyDescent="0.3">
      <c r="B12" s="88" t="s">
        <v>106</v>
      </c>
      <c r="C12" s="43"/>
      <c r="D12" s="40">
        <f>'ESTADO PG'!C18</f>
        <v>20780</v>
      </c>
      <c r="E12" s="40">
        <f>'ESTADO PG'!D18</f>
        <v>20780</v>
      </c>
      <c r="F12" s="40">
        <f>'ESTADO PG'!E18</f>
        <v>20780</v>
      </c>
      <c r="G12" s="40">
        <f>'ESTADO PG'!F18</f>
        <v>20780</v>
      </c>
      <c r="H12" s="40">
        <f>'ESTADO PG'!G18</f>
        <v>20780</v>
      </c>
      <c r="I12" s="40">
        <f>'ESTADO PG'!H18</f>
        <v>20780</v>
      </c>
      <c r="J12" s="40">
        <f>'ESTADO PG'!I18</f>
        <v>20780</v>
      </c>
      <c r="K12" s="40">
        <f>'ESTADO PG'!J18</f>
        <v>20780</v>
      </c>
      <c r="L12" s="40">
        <f>'ESTADO PG'!K18</f>
        <v>20780</v>
      </c>
      <c r="M12" s="40">
        <f>'ESTADO PG'!L18</f>
        <v>20780</v>
      </c>
      <c r="N12" s="40">
        <f>'ESTADO PG'!M18</f>
        <v>20780</v>
      </c>
      <c r="O12" s="40">
        <f>'ESTADO PG'!N18</f>
        <v>20780</v>
      </c>
    </row>
    <row r="13" spans="2:15" ht="15.75" thickBot="1" x14ac:dyDescent="0.3">
      <c r="B13" s="88" t="s">
        <v>100</v>
      </c>
      <c r="C13" s="43"/>
      <c r="D13" s="40">
        <f>'INVERSION INICIAL'!D35</f>
        <v>310</v>
      </c>
      <c r="E13" s="40">
        <f>'INVERSION INICIAL'!$E$35</f>
        <v>220</v>
      </c>
      <c r="F13" s="40">
        <f>'INVERSION INICIAL'!$E$35</f>
        <v>220</v>
      </c>
      <c r="G13" s="40">
        <f>'INVERSION INICIAL'!$E$35</f>
        <v>220</v>
      </c>
      <c r="H13" s="40">
        <f>'INVERSION INICIAL'!$E$35</f>
        <v>220</v>
      </c>
      <c r="I13" s="40">
        <f>'INVERSION INICIAL'!$E$35</f>
        <v>220</v>
      </c>
      <c r="J13" s="40">
        <f>'INVERSION INICIAL'!$E$35</f>
        <v>220</v>
      </c>
      <c r="K13" s="40">
        <f>'INVERSION INICIAL'!$E$35</f>
        <v>220</v>
      </c>
      <c r="L13" s="40">
        <f>'INVERSION INICIAL'!$E$35</f>
        <v>220</v>
      </c>
      <c r="M13" s="40">
        <f>'INVERSION INICIAL'!$E$35</f>
        <v>220</v>
      </c>
      <c r="N13" s="40">
        <f>'INVERSION INICIAL'!$E$35</f>
        <v>220</v>
      </c>
      <c r="O13" s="40">
        <f>'INVERSION INICIAL'!$E$35</f>
        <v>220</v>
      </c>
    </row>
    <row r="14" spans="2:15" ht="15.75" thickBot="1" x14ac:dyDescent="0.3">
      <c r="B14" s="88" t="s">
        <v>108</v>
      </c>
      <c r="C14" s="43"/>
      <c r="D14" s="40">
        <f>PLANILLA!$F$5</f>
        <v>1210</v>
      </c>
      <c r="E14" s="40">
        <f>PLANILLA!$F$5</f>
        <v>1210</v>
      </c>
      <c r="F14" s="40">
        <f>PLANILLA!$F$5</f>
        <v>1210</v>
      </c>
      <c r="G14" s="40">
        <f>PLANILLA!$F$5</f>
        <v>1210</v>
      </c>
      <c r="H14" s="40">
        <f>PLANILLA!$F$5</f>
        <v>1210</v>
      </c>
      <c r="I14" s="40">
        <f>D14*2</f>
        <v>2420</v>
      </c>
      <c r="J14" s="40">
        <f>PLANILLA!$F$5</f>
        <v>1210</v>
      </c>
      <c r="K14" s="40">
        <f>PLANILLA!$F$5</f>
        <v>1210</v>
      </c>
      <c r="L14" s="40">
        <f>PLANILLA!$F$5</f>
        <v>1210</v>
      </c>
      <c r="M14" s="40">
        <f>PLANILLA!$F$5</f>
        <v>1210</v>
      </c>
      <c r="N14" s="40">
        <f>PLANILLA!$F$5</f>
        <v>1210</v>
      </c>
      <c r="O14" s="40">
        <f>J14*2</f>
        <v>2420</v>
      </c>
    </row>
    <row r="15" spans="2:15" ht="15.75" thickBot="1" x14ac:dyDescent="0.3">
      <c r="B15" s="84" t="s">
        <v>122</v>
      </c>
      <c r="C15" s="83"/>
      <c r="D15" s="82">
        <f>SUM(D12:D14)</f>
        <v>22300</v>
      </c>
      <c r="E15" s="82">
        <f t="shared" ref="E15:O15" si="1">SUM(E12:E14)</f>
        <v>22210</v>
      </c>
      <c r="F15" s="82">
        <f t="shared" si="1"/>
        <v>22210</v>
      </c>
      <c r="G15" s="82">
        <f t="shared" si="1"/>
        <v>22210</v>
      </c>
      <c r="H15" s="82">
        <f t="shared" si="1"/>
        <v>22210</v>
      </c>
      <c r="I15" s="82">
        <f t="shared" si="1"/>
        <v>23420</v>
      </c>
      <c r="J15" s="82">
        <f t="shared" si="1"/>
        <v>22210</v>
      </c>
      <c r="K15" s="82">
        <f t="shared" si="1"/>
        <v>22210</v>
      </c>
      <c r="L15" s="82">
        <f t="shared" si="1"/>
        <v>22210</v>
      </c>
      <c r="M15" s="82">
        <f t="shared" si="1"/>
        <v>22210</v>
      </c>
      <c r="N15" s="82">
        <f t="shared" si="1"/>
        <v>22210</v>
      </c>
      <c r="O15" s="82">
        <f t="shared" si="1"/>
        <v>23420</v>
      </c>
    </row>
    <row r="16" spans="2:15" ht="15.75" thickBot="1" x14ac:dyDescent="0.3"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</row>
    <row r="17" spans="2:19" ht="15.75" thickBot="1" x14ac:dyDescent="0.3">
      <c r="B17" s="75" t="s">
        <v>123</v>
      </c>
      <c r="C17" s="44"/>
      <c r="D17" s="45">
        <f t="shared" ref="D17:O17" si="2">D9-D15</f>
        <v>29900</v>
      </c>
      <c r="E17" s="45">
        <f t="shared" si="2"/>
        <v>59005.61</v>
      </c>
      <c r="F17" s="45">
        <f t="shared" si="2"/>
        <v>88111.23000000001</v>
      </c>
      <c r="G17" s="45">
        <f t="shared" si="2"/>
        <v>117216.85</v>
      </c>
      <c r="H17" s="45">
        <f t="shared" si="2"/>
        <v>146322.47</v>
      </c>
      <c r="I17" s="45">
        <f t="shared" si="2"/>
        <v>174218.08</v>
      </c>
      <c r="J17" s="45">
        <f t="shared" si="2"/>
        <v>203323.69999999998</v>
      </c>
      <c r="K17" s="45">
        <f t="shared" si="2"/>
        <v>232429.31999999998</v>
      </c>
      <c r="L17" s="45">
        <f t="shared" si="2"/>
        <v>261534.92999999993</v>
      </c>
      <c r="M17" s="45">
        <f t="shared" si="2"/>
        <v>290640.54999999993</v>
      </c>
      <c r="N17" s="45">
        <f t="shared" si="2"/>
        <v>319746.16999999993</v>
      </c>
      <c r="O17" s="45">
        <f t="shared" si="2"/>
        <v>347641.77999999991</v>
      </c>
    </row>
    <row r="18" spans="2:19" ht="15.75" thickBot="1" x14ac:dyDescent="0.3">
      <c r="B18" s="44" t="s">
        <v>124</v>
      </c>
      <c r="C18" s="45">
        <v>-10000</v>
      </c>
      <c r="D18" s="220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2"/>
      <c r="P18" s="218"/>
      <c r="Q18" s="218"/>
      <c r="R18" s="218"/>
    </row>
    <row r="19" spans="2:19" ht="15.75" thickBot="1" x14ac:dyDescent="0.3">
      <c r="B19" s="88" t="s">
        <v>125</v>
      </c>
      <c r="C19" s="43"/>
      <c r="D19" s="40">
        <f>PRESTAMO!$E$14</f>
        <v>791.71</v>
      </c>
      <c r="E19" s="40">
        <f>PRESTAMO!$E$15</f>
        <v>799.04</v>
      </c>
      <c r="F19" s="40">
        <f>PRESTAMO!$E$16</f>
        <v>806.45</v>
      </c>
      <c r="G19" s="40">
        <f>PRESTAMO!$E$17</f>
        <v>813.92</v>
      </c>
      <c r="H19" s="40">
        <f>PRESTAMO!$E$18</f>
        <v>821.47</v>
      </c>
      <c r="I19" s="40">
        <f>PRESTAMO!$E$19</f>
        <v>829.08</v>
      </c>
      <c r="J19" s="40">
        <f>PRESTAMO!$E$20</f>
        <v>836.76</v>
      </c>
      <c r="K19" s="40">
        <f>PRESTAMO!$E$21</f>
        <v>844.52</v>
      </c>
      <c r="L19" s="40">
        <f>PRESTAMO!$E$22</f>
        <v>852.34</v>
      </c>
      <c r="M19" s="40">
        <f>PRESTAMO!$E$23</f>
        <v>860.24</v>
      </c>
      <c r="N19" s="40">
        <f>PRESTAMO!$E$24</f>
        <v>868.22</v>
      </c>
      <c r="O19" s="40">
        <f>PRESTAMO!$E$25</f>
        <v>876.26</v>
      </c>
      <c r="Q19" s="5" t="s">
        <v>133</v>
      </c>
      <c r="R19" s="5">
        <f>D20/100</f>
        <v>0.92680000000000007</v>
      </c>
      <c r="S19" s="5" t="s">
        <v>8</v>
      </c>
    </row>
    <row r="20" spans="2:19" ht="15.75" thickBot="1" x14ac:dyDescent="0.3">
      <c r="B20" s="88" t="s">
        <v>126</v>
      </c>
      <c r="C20" s="43"/>
      <c r="D20" s="40">
        <f>PRESTAMO!$F$14</f>
        <v>92.68</v>
      </c>
      <c r="E20" s="40">
        <f>PRESTAMO!$F$15</f>
        <v>85.34</v>
      </c>
      <c r="F20" s="40">
        <f>PRESTAMO!$F$16</f>
        <v>77.930000000000007</v>
      </c>
      <c r="G20" s="40">
        <f>PRESTAMO!$F$17</f>
        <v>70.459999999999994</v>
      </c>
      <c r="H20" s="40">
        <f>PRESTAMO!$F$18</f>
        <v>62.92</v>
      </c>
      <c r="I20" s="40">
        <f>PRESTAMO!$F$19</f>
        <v>55.3</v>
      </c>
      <c r="J20" s="40">
        <f>PRESTAMO!$F$20</f>
        <v>47.62</v>
      </c>
      <c r="K20" s="40">
        <f>PRESTAMO!$F$21</f>
        <v>39.869999999999997</v>
      </c>
      <c r="L20" s="40">
        <f>PRESTAMO!$F$22</f>
        <v>32.04</v>
      </c>
      <c r="M20" s="40">
        <f>PRESTAMO!$F$23</f>
        <v>24.14</v>
      </c>
      <c r="N20" s="40">
        <f>PRESTAMO!$F$24</f>
        <v>16.170000000000002</v>
      </c>
      <c r="O20" s="40">
        <f>PRESTAMO!$F$25</f>
        <v>8.1199999999999992</v>
      </c>
    </row>
    <row r="21" spans="2:19" ht="15.75" thickBot="1" x14ac:dyDescent="0.3">
      <c r="B21" s="84" t="s">
        <v>127</v>
      </c>
      <c r="C21" s="83"/>
      <c r="D21" s="82">
        <f>SUM(D19:D20)</f>
        <v>884.3900000000001</v>
      </c>
      <c r="E21" s="82">
        <f t="shared" ref="E21:O21" si="3">SUM(E19:E20)</f>
        <v>884.38</v>
      </c>
      <c r="F21" s="82">
        <f t="shared" si="3"/>
        <v>884.38000000000011</v>
      </c>
      <c r="G21" s="82">
        <f t="shared" si="3"/>
        <v>884.38</v>
      </c>
      <c r="H21" s="82">
        <f t="shared" si="3"/>
        <v>884.39</v>
      </c>
      <c r="I21" s="82">
        <f t="shared" si="3"/>
        <v>884.38</v>
      </c>
      <c r="J21" s="82">
        <f t="shared" si="3"/>
        <v>884.38</v>
      </c>
      <c r="K21" s="82">
        <f t="shared" si="3"/>
        <v>884.39</v>
      </c>
      <c r="L21" s="82">
        <f t="shared" si="3"/>
        <v>884.38</v>
      </c>
      <c r="M21" s="82">
        <f t="shared" si="3"/>
        <v>884.38</v>
      </c>
      <c r="N21" s="82">
        <f t="shared" si="3"/>
        <v>884.39</v>
      </c>
      <c r="O21" s="82">
        <f t="shared" si="3"/>
        <v>884.38</v>
      </c>
      <c r="R21" s="68">
        <f>R19/12</f>
        <v>7.7233333333333334E-2</v>
      </c>
    </row>
    <row r="22" spans="2:19" ht="15.75" thickBot="1" x14ac:dyDescent="0.3">
      <c r="B22" s="85" t="s">
        <v>128</v>
      </c>
      <c r="C22" s="47"/>
      <c r="D22" s="49">
        <f t="shared" ref="D22:O22" si="4">D17-D21</f>
        <v>29015.61</v>
      </c>
      <c r="E22" s="49">
        <f t="shared" si="4"/>
        <v>58121.23</v>
      </c>
      <c r="F22" s="49">
        <f t="shared" si="4"/>
        <v>87226.85</v>
      </c>
      <c r="G22" s="49">
        <f t="shared" si="4"/>
        <v>116332.47</v>
      </c>
      <c r="H22" s="49">
        <f t="shared" si="4"/>
        <v>145438.07999999999</v>
      </c>
      <c r="I22" s="49">
        <f t="shared" si="4"/>
        <v>173333.69999999998</v>
      </c>
      <c r="J22" s="49">
        <f t="shared" si="4"/>
        <v>202439.31999999998</v>
      </c>
      <c r="K22" s="49">
        <f t="shared" si="4"/>
        <v>231544.92999999996</v>
      </c>
      <c r="L22" s="49">
        <f t="shared" si="4"/>
        <v>260650.54999999993</v>
      </c>
      <c r="M22" s="49">
        <f t="shared" si="4"/>
        <v>289756.16999999993</v>
      </c>
      <c r="N22" s="49">
        <f t="shared" si="4"/>
        <v>318861.77999999991</v>
      </c>
      <c r="O22" s="49">
        <f t="shared" si="4"/>
        <v>346757.39999999991</v>
      </c>
    </row>
    <row r="23" spans="2:19" ht="15.75" thickBot="1" x14ac:dyDescent="0.3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</row>
    <row r="24" spans="2:19" ht="15.75" thickBot="1" x14ac:dyDescent="0.3">
      <c r="B24" s="92"/>
      <c r="C24" s="90">
        <f>+C18</f>
        <v>-10000</v>
      </c>
      <c r="D24" s="93">
        <f>+D17</f>
        <v>29900</v>
      </c>
      <c r="E24" s="93">
        <f>+E17</f>
        <v>59005.61</v>
      </c>
      <c r="F24" s="93">
        <f>+F17</f>
        <v>88111.23000000001</v>
      </c>
      <c r="G24" s="93">
        <f t="shared" ref="G24:O24" si="5">+G17</f>
        <v>117216.85</v>
      </c>
      <c r="H24" s="93">
        <f t="shared" si="5"/>
        <v>146322.47</v>
      </c>
      <c r="I24" s="93">
        <f t="shared" si="5"/>
        <v>174218.08</v>
      </c>
      <c r="J24" s="93">
        <f t="shared" si="5"/>
        <v>203323.69999999998</v>
      </c>
      <c r="K24" s="93">
        <f t="shared" si="5"/>
        <v>232429.31999999998</v>
      </c>
      <c r="L24" s="93">
        <f t="shared" si="5"/>
        <v>261534.92999999993</v>
      </c>
      <c r="M24" s="93">
        <f t="shared" si="5"/>
        <v>290640.54999999993</v>
      </c>
      <c r="N24" s="93">
        <f t="shared" si="5"/>
        <v>319746.16999999993</v>
      </c>
      <c r="O24" s="93">
        <f t="shared" si="5"/>
        <v>347641.77999999991</v>
      </c>
    </row>
    <row r="25" spans="2:19" ht="15.75" thickBot="1" x14ac:dyDescent="0.3"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</row>
    <row r="26" spans="2:19" ht="15.75" thickBot="1" x14ac:dyDescent="0.3">
      <c r="D26" s="94" t="s">
        <v>130</v>
      </c>
      <c r="E26" s="95">
        <f>NPV(0.08,D24,E24,F24,G24,H24,I24,J24,K24,L24,M24,N24,O24)</f>
        <v>1228602.0911506591</v>
      </c>
      <c r="F26" s="95">
        <f>+C24+E26</f>
        <v>1218602.0911506591</v>
      </c>
    </row>
    <row r="27" spans="2:19" ht="15.75" thickBot="1" x14ac:dyDescent="0.3"/>
    <row r="28" spans="2:19" ht="15.75" thickBot="1" x14ac:dyDescent="0.3">
      <c r="D28" s="94" t="s">
        <v>131</v>
      </c>
      <c r="E28" s="96">
        <f>IRR(C24:O24,0.08)</f>
        <v>3.7633472921421944</v>
      </c>
      <c r="F28" s="97">
        <f>E28/12</f>
        <v>0.31361227434518285</v>
      </c>
    </row>
    <row r="30" spans="2:19" ht="15.75" thickBot="1" x14ac:dyDescent="0.3"/>
    <row r="31" spans="2:19" ht="15.75" thickBot="1" x14ac:dyDescent="0.3">
      <c r="C31" s="105">
        <v>-10000</v>
      </c>
      <c r="D31" s="106">
        <f>D22</f>
        <v>29015.61</v>
      </c>
      <c r="E31" s="106">
        <f t="shared" ref="E31:O31" si="6">E22</f>
        <v>58121.23</v>
      </c>
      <c r="F31" s="106">
        <f t="shared" si="6"/>
        <v>87226.85</v>
      </c>
      <c r="G31" s="106">
        <f t="shared" si="6"/>
        <v>116332.47</v>
      </c>
      <c r="H31" s="106">
        <f t="shared" si="6"/>
        <v>145438.07999999999</v>
      </c>
      <c r="I31" s="106">
        <f t="shared" si="6"/>
        <v>173333.69999999998</v>
      </c>
      <c r="J31" s="106">
        <f t="shared" si="6"/>
        <v>202439.31999999998</v>
      </c>
      <c r="K31" s="106">
        <f t="shared" si="6"/>
        <v>231544.92999999996</v>
      </c>
      <c r="L31" s="106">
        <f t="shared" si="6"/>
        <v>260650.54999999993</v>
      </c>
      <c r="M31" s="106">
        <f t="shared" si="6"/>
        <v>289756.16999999993</v>
      </c>
      <c r="N31" s="106">
        <f t="shared" si="6"/>
        <v>318861.77999999991</v>
      </c>
      <c r="O31" s="106">
        <f t="shared" si="6"/>
        <v>346757.39999999991</v>
      </c>
    </row>
    <row r="32" spans="2:19" ht="15.75" thickBot="1" x14ac:dyDescent="0.3"/>
    <row r="33" spans="3:12" ht="15.75" thickBot="1" x14ac:dyDescent="0.3">
      <c r="D33" s="94" t="s">
        <v>132</v>
      </c>
      <c r="E33" s="96">
        <f>IRR(C31:O31,0.08)</f>
        <v>3.6902286584330106</v>
      </c>
      <c r="F33" s="104">
        <f>E33/12</f>
        <v>0.30751905486941755</v>
      </c>
    </row>
    <row r="34" spans="3:12" ht="15.75" thickBot="1" x14ac:dyDescent="0.3"/>
    <row r="35" spans="3:12" ht="15.75" thickBot="1" x14ac:dyDescent="0.3">
      <c r="D35" s="94" t="s">
        <v>130</v>
      </c>
      <c r="E35" s="98">
        <f>NPV(E33,D31:O31)</f>
        <v>10000.000000000016</v>
      </c>
    </row>
    <row r="37" spans="3:12" ht="15.75" thickBot="1" x14ac:dyDescent="0.3"/>
    <row r="38" spans="3:12" ht="15.75" thickBot="1" x14ac:dyDescent="0.3">
      <c r="C38" s="47" t="s">
        <v>134</v>
      </c>
      <c r="D38" s="47">
        <v>0.08</v>
      </c>
      <c r="E38" s="47" t="s">
        <v>135</v>
      </c>
      <c r="F38" s="47"/>
      <c r="I38" s="47" t="s">
        <v>134</v>
      </c>
      <c r="J38" s="47">
        <v>0.08</v>
      </c>
      <c r="K38" s="47" t="s">
        <v>137</v>
      </c>
      <c r="L38" s="47"/>
    </row>
    <row r="39" spans="3:12" ht="15.75" thickBot="1" x14ac:dyDescent="0.3">
      <c r="C39" s="78">
        <v>0</v>
      </c>
      <c r="D39" s="78">
        <v>1</v>
      </c>
      <c r="E39" s="78">
        <v>-10000</v>
      </c>
      <c r="F39" s="78">
        <v>-10000</v>
      </c>
      <c r="I39" s="78">
        <v>0</v>
      </c>
      <c r="J39" s="78">
        <v>1</v>
      </c>
      <c r="K39" s="78">
        <v>-10000</v>
      </c>
      <c r="L39" s="78">
        <v>-10000</v>
      </c>
    </row>
    <row r="40" spans="3:12" ht="15.75" thickBot="1" x14ac:dyDescent="0.3">
      <c r="C40" s="78">
        <v>1</v>
      </c>
      <c r="D40" s="80">
        <f>1/(1+$D$38)</f>
        <v>0.92592592592592582</v>
      </c>
      <c r="E40" s="80">
        <f>D17</f>
        <v>29900</v>
      </c>
      <c r="F40" s="80">
        <f>E40*(D40)</f>
        <v>27685.185185185182</v>
      </c>
      <c r="I40" s="78">
        <v>1</v>
      </c>
      <c r="J40" s="80">
        <f>1/(1+$J$38)</f>
        <v>0.92592592592592582</v>
      </c>
      <c r="K40" s="80">
        <f>+D22</f>
        <v>29015.61</v>
      </c>
      <c r="L40" s="80">
        <f>K40-J40</f>
        <v>29014.684074074074</v>
      </c>
    </row>
    <row r="41" spans="3:12" ht="15.75" thickBot="1" x14ac:dyDescent="0.3">
      <c r="C41" s="78">
        <v>2</v>
      </c>
      <c r="D41" s="80">
        <f>1/(1+$D$38)^2</f>
        <v>0.85733882030178321</v>
      </c>
      <c r="E41" s="80">
        <f>+E17</f>
        <v>59005.61</v>
      </c>
      <c r="F41" s="80">
        <f t="shared" ref="F41:F51" si="7">E41*(D41)</f>
        <v>50587.800068587101</v>
      </c>
      <c r="I41" s="78">
        <v>2</v>
      </c>
      <c r="J41" s="80">
        <f>1/(1+$J$38)^2</f>
        <v>0.85733882030178321</v>
      </c>
      <c r="K41" s="80">
        <f>+E22</f>
        <v>58121.23</v>
      </c>
      <c r="L41" s="80">
        <f t="shared" ref="L41:L51" si="8">K41-J41</f>
        <v>58120.372661179703</v>
      </c>
    </row>
    <row r="42" spans="3:12" ht="15.75" thickBot="1" x14ac:dyDescent="0.3">
      <c r="C42" s="78">
        <v>3</v>
      </c>
      <c r="D42" s="80">
        <f>1/(1+$D$38)^3</f>
        <v>0.79383224102016958</v>
      </c>
      <c r="E42" s="80">
        <f>+F17</f>
        <v>88111.23000000001</v>
      </c>
      <c r="F42" s="80">
        <f t="shared" si="7"/>
        <v>69945.5351699436</v>
      </c>
      <c r="I42" s="78">
        <v>3</v>
      </c>
      <c r="J42" s="80">
        <f>1/(1+$J$38)^3</f>
        <v>0.79383224102016958</v>
      </c>
      <c r="K42" s="80">
        <f>+F22</f>
        <v>87226.85</v>
      </c>
      <c r="L42" s="80">
        <f t="shared" si="8"/>
        <v>87226.056167758987</v>
      </c>
    </row>
    <row r="43" spans="3:12" ht="15.75" thickBot="1" x14ac:dyDescent="0.3">
      <c r="C43" s="78">
        <v>4</v>
      </c>
      <c r="D43" s="80">
        <f>1/(1+$D$38)^4</f>
        <v>0.73502985279645328</v>
      </c>
      <c r="E43" s="80">
        <f>+G17</f>
        <v>117216.85</v>
      </c>
      <c r="F43" s="80">
        <f t="shared" si="7"/>
        <v>86157.884000763952</v>
      </c>
      <c r="I43" s="78">
        <v>4</v>
      </c>
      <c r="J43" s="80">
        <f>1/(1+$J$38)^4</f>
        <v>0.73502985279645328</v>
      </c>
      <c r="K43" s="80">
        <f>+G22</f>
        <v>116332.47</v>
      </c>
      <c r="L43" s="80">
        <f t="shared" si="8"/>
        <v>116331.7349701472</v>
      </c>
    </row>
    <row r="44" spans="3:12" ht="15.75" thickBot="1" x14ac:dyDescent="0.3">
      <c r="C44" s="78">
        <v>5</v>
      </c>
      <c r="D44" s="80">
        <f>1/(1+$D$38)^5</f>
        <v>0.68058319703375303</v>
      </c>
      <c r="E44" s="80">
        <f>+H17</f>
        <v>146322.47</v>
      </c>
      <c r="F44" s="80">
        <f t="shared" si="7"/>
        <v>99584.614430475413</v>
      </c>
      <c r="I44" s="78">
        <v>5</v>
      </c>
      <c r="J44" s="80">
        <f>1/(1+$J$38)^5</f>
        <v>0.68058319703375303</v>
      </c>
      <c r="K44" s="80">
        <f>+H22</f>
        <v>145438.07999999999</v>
      </c>
      <c r="L44" s="80">
        <f t="shared" si="8"/>
        <v>145437.39941680295</v>
      </c>
    </row>
    <row r="45" spans="3:12" ht="15.75" thickBot="1" x14ac:dyDescent="0.3">
      <c r="C45" s="78">
        <v>6</v>
      </c>
      <c r="D45" s="80">
        <f>1/(1+$D$38)^6</f>
        <v>0.63016962688310452</v>
      </c>
      <c r="E45" s="80">
        <f>+I17</f>
        <v>174218.08</v>
      </c>
      <c r="F45" s="80">
        <f t="shared" si="7"/>
        <v>109786.94246989084</v>
      </c>
      <c r="I45" s="78">
        <v>6</v>
      </c>
      <c r="J45" s="80">
        <f>1/(1+$J$38)^6</f>
        <v>0.63016962688310452</v>
      </c>
      <c r="K45" s="80">
        <f>+I22</f>
        <v>173333.69999999998</v>
      </c>
      <c r="L45" s="80">
        <f t="shared" si="8"/>
        <v>173333.0698303731</v>
      </c>
    </row>
    <row r="46" spans="3:12" ht="15.75" thickBot="1" x14ac:dyDescent="0.3">
      <c r="C46" s="78">
        <v>7</v>
      </c>
      <c r="D46" s="80">
        <f>1/(1+$D$38)^7</f>
        <v>0.58349039526213387</v>
      </c>
      <c r="E46" s="80">
        <f>+J17</f>
        <v>203323.69999999998</v>
      </c>
      <c r="F46" s="80">
        <f t="shared" si="7"/>
        <v>118637.42607915952</v>
      </c>
      <c r="I46" s="78">
        <v>7</v>
      </c>
      <c r="J46" s="80">
        <f>1/(1+$J$38)^7</f>
        <v>0.58349039526213387</v>
      </c>
      <c r="K46" s="80">
        <f>+J22</f>
        <v>202439.31999999998</v>
      </c>
      <c r="L46" s="80">
        <f t="shared" si="8"/>
        <v>202438.73650960473</v>
      </c>
    </row>
    <row r="47" spans="3:12" ht="15.75" thickBot="1" x14ac:dyDescent="0.3">
      <c r="C47" s="78">
        <v>8</v>
      </c>
      <c r="D47" s="80">
        <f>1/(1+$D$38)^8</f>
        <v>0.54026888450197574</v>
      </c>
      <c r="E47" s="80">
        <f>+K17</f>
        <v>232429.31999999998</v>
      </c>
      <c r="F47" s="80">
        <f t="shared" si="7"/>
        <v>125574.32944195275</v>
      </c>
      <c r="I47" s="78">
        <v>8</v>
      </c>
      <c r="J47" s="80">
        <f>1/(1+$J$38)^8</f>
        <v>0.54026888450197574</v>
      </c>
      <c r="K47" s="80">
        <f>+K22</f>
        <v>231544.92999999996</v>
      </c>
      <c r="L47" s="80">
        <f t="shared" si="8"/>
        <v>231544.38973111546</v>
      </c>
    </row>
    <row r="48" spans="3:12" ht="15.75" thickBot="1" x14ac:dyDescent="0.3">
      <c r="C48" s="78">
        <v>9</v>
      </c>
      <c r="D48" s="80">
        <f>1/(1+$D$38)^9</f>
        <v>0.50024896713145905</v>
      </c>
      <c r="E48" s="80">
        <f>+L17</f>
        <v>261534.92999999993</v>
      </c>
      <c r="F48" s="80">
        <f t="shared" si="7"/>
        <v>130832.57860129842</v>
      </c>
      <c r="I48" s="78">
        <v>9</v>
      </c>
      <c r="J48" s="80">
        <f>1/(1+$J$38)^9</f>
        <v>0.50024896713145905</v>
      </c>
      <c r="K48" s="80">
        <f>+L22</f>
        <v>260650.54999999993</v>
      </c>
      <c r="L48" s="80">
        <f t="shared" si="8"/>
        <v>260650.04975103281</v>
      </c>
    </row>
    <row r="49" spans="3:12" ht="15.75" thickBot="1" x14ac:dyDescent="0.3">
      <c r="C49" s="78">
        <v>10</v>
      </c>
      <c r="D49" s="80">
        <f>1/(1+$D$38)^10</f>
        <v>0.46319348808468425</v>
      </c>
      <c r="E49" s="80">
        <f>+M17</f>
        <v>290640.54999999993</v>
      </c>
      <c r="F49" s="80">
        <f t="shared" si="7"/>
        <v>134622.81013335104</v>
      </c>
      <c r="I49" s="78">
        <v>10</v>
      </c>
      <c r="J49" s="80">
        <f>1/(1+$J$38)^10</f>
        <v>0.46319348808468425</v>
      </c>
      <c r="K49" s="80">
        <f>+M24</f>
        <v>290640.54999999993</v>
      </c>
      <c r="L49" s="80">
        <f t="shared" si="8"/>
        <v>290640.08680651186</v>
      </c>
    </row>
    <row r="50" spans="3:12" ht="15.75" thickBot="1" x14ac:dyDescent="0.3">
      <c r="C50" s="78">
        <v>11</v>
      </c>
      <c r="D50" s="80">
        <f>1/(1+$D$38)^11</f>
        <v>0.42888285933767062</v>
      </c>
      <c r="E50" s="80">
        <f>+N17</f>
        <v>319746.16999999993</v>
      </c>
      <c r="F50" s="80">
        <f t="shared" si="7"/>
        <v>137133.65165186889</v>
      </c>
      <c r="I50" s="78">
        <v>11</v>
      </c>
      <c r="J50" s="80">
        <f>1/(1+$J$38)^11</f>
        <v>0.42888285933767062</v>
      </c>
      <c r="K50" s="80">
        <f>+N24</f>
        <v>319746.16999999993</v>
      </c>
      <c r="L50" s="80">
        <f t="shared" si="8"/>
        <v>319745.74111714057</v>
      </c>
    </row>
    <row r="51" spans="3:12" ht="15.75" thickBot="1" x14ac:dyDescent="0.3">
      <c r="C51" s="78">
        <v>12</v>
      </c>
      <c r="D51" s="80">
        <f>1/(1+$D$38)^12</f>
        <v>0.39711375864599124</v>
      </c>
      <c r="E51" s="80">
        <f>+O17</f>
        <v>347641.77999999991</v>
      </c>
      <c r="F51" s="80">
        <f t="shared" si="7"/>
        <v>138053.33391818276</v>
      </c>
      <c r="I51" s="78">
        <v>12</v>
      </c>
      <c r="J51" s="80">
        <f>1/(1+$J$38)^12</f>
        <v>0.39711375864599124</v>
      </c>
      <c r="K51" s="80">
        <f>+O24</f>
        <v>347641.77999999991</v>
      </c>
      <c r="L51" s="80">
        <f t="shared" si="8"/>
        <v>347641.38288624125</v>
      </c>
    </row>
    <row r="52" spans="3:12" ht="15.75" thickBot="1" x14ac:dyDescent="0.3">
      <c r="E52" s="47" t="s">
        <v>130</v>
      </c>
      <c r="F52" s="99">
        <f>SUM(F39:F51)</f>
        <v>1218602.0911506591</v>
      </c>
      <c r="K52" s="47" t="s">
        <v>138</v>
      </c>
      <c r="L52" s="100">
        <f>SUM(L39:L51)</f>
        <v>2252123.7039219826</v>
      </c>
    </row>
    <row r="53" spans="3:12" ht="15.75" thickBot="1" x14ac:dyDescent="0.3"/>
    <row r="54" spans="3:12" ht="15.75" thickBot="1" x14ac:dyDescent="0.3">
      <c r="E54" s="83" t="s">
        <v>136</v>
      </c>
      <c r="F54" s="101">
        <f>IRR(E39:E51)</f>
        <v>3.7633472921421989</v>
      </c>
      <c r="K54" s="83" t="s">
        <v>136</v>
      </c>
      <c r="L54" s="101">
        <f>IRR(K39:K51)</f>
        <v>3.6902287241324316</v>
      </c>
    </row>
    <row r="55" spans="3:12" ht="15.75" thickBot="1" x14ac:dyDescent="0.3">
      <c r="E55" s="92"/>
      <c r="F55" s="92"/>
    </row>
    <row r="56" spans="3:12" ht="27.75" thickBot="1" x14ac:dyDescent="0.3">
      <c r="C56" s="47" t="s">
        <v>139</v>
      </c>
      <c r="D56" s="47" t="s">
        <v>140</v>
      </c>
      <c r="E56" s="47">
        <v>0.08</v>
      </c>
      <c r="F56" s="85" t="s">
        <v>141</v>
      </c>
      <c r="I56" s="47" t="s">
        <v>139</v>
      </c>
      <c r="J56" s="47" t="s">
        <v>142</v>
      </c>
      <c r="K56" s="47">
        <v>0.08</v>
      </c>
      <c r="L56" s="85" t="s">
        <v>143</v>
      </c>
    </row>
    <row r="57" spans="3:12" ht="15.75" thickBot="1" x14ac:dyDescent="0.3">
      <c r="C57" s="78">
        <v>1</v>
      </c>
      <c r="D57" s="80">
        <f>+D9</f>
        <v>52200</v>
      </c>
      <c r="E57" s="80">
        <f>1/(1+$E$56)^1</f>
        <v>0.92592592592592582</v>
      </c>
      <c r="F57" s="80">
        <f>D57*E57</f>
        <v>48333.333333333328</v>
      </c>
      <c r="I57" s="78">
        <v>1</v>
      </c>
      <c r="J57" s="80">
        <f>+D15</f>
        <v>22300</v>
      </c>
      <c r="K57" s="80">
        <f>1/(1+$K$56)^1</f>
        <v>0.92592592592592582</v>
      </c>
      <c r="L57" s="80">
        <f>J57*K57</f>
        <v>20648.148148148146</v>
      </c>
    </row>
    <row r="58" spans="3:12" ht="15.75" thickBot="1" x14ac:dyDescent="0.3">
      <c r="C58" s="78">
        <v>2</v>
      </c>
      <c r="D58" s="80">
        <f>+E9</f>
        <v>81215.61</v>
      </c>
      <c r="E58" s="80">
        <f>1/(1+$E$56)^2</f>
        <v>0.85733882030178321</v>
      </c>
      <c r="F58" s="80">
        <f t="shared" ref="F58:F68" si="9">D58*E58</f>
        <v>69629.29526748971</v>
      </c>
      <c r="I58" s="78">
        <v>2</v>
      </c>
      <c r="J58" s="80">
        <f>+E15</f>
        <v>22210</v>
      </c>
      <c r="K58" s="80">
        <f>1/(1+$K$56)^2</f>
        <v>0.85733882030178321</v>
      </c>
      <c r="L58" s="80">
        <f t="shared" ref="L58:L68" si="10">J58*K58</f>
        <v>19041.495198902605</v>
      </c>
    </row>
    <row r="59" spans="3:12" ht="15.75" thickBot="1" x14ac:dyDescent="0.3">
      <c r="C59" s="78">
        <v>3</v>
      </c>
      <c r="D59" s="80">
        <f>+F9</f>
        <v>110321.23000000001</v>
      </c>
      <c r="E59" s="80">
        <f>1/(1+$E$56)^3</f>
        <v>0.79383224102016958</v>
      </c>
      <c r="F59" s="80">
        <f t="shared" si="9"/>
        <v>87576.549243001573</v>
      </c>
      <c r="I59" s="78">
        <v>3</v>
      </c>
      <c r="J59" s="80">
        <f>+F15</f>
        <v>22210</v>
      </c>
      <c r="K59" s="80">
        <f>1/(1+$K$56)^3</f>
        <v>0.79383224102016958</v>
      </c>
      <c r="L59" s="80">
        <f t="shared" si="10"/>
        <v>17631.014073057966</v>
      </c>
    </row>
    <row r="60" spans="3:12" ht="15.75" thickBot="1" x14ac:dyDescent="0.3">
      <c r="C60" s="78">
        <v>4</v>
      </c>
      <c r="D60" s="80">
        <f>+G9</f>
        <v>139426.85</v>
      </c>
      <c r="E60" s="80">
        <f>1/(1+$E$56)^4</f>
        <v>0.73502985279645328</v>
      </c>
      <c r="F60" s="80">
        <f t="shared" si="9"/>
        <v>102482.89703137317</v>
      </c>
      <c r="I60" s="78">
        <v>4</v>
      </c>
      <c r="J60" s="80">
        <f>+G15</f>
        <v>22210</v>
      </c>
      <c r="K60" s="80">
        <f>1/(1+$K$56)^4</f>
        <v>0.73502985279645328</v>
      </c>
      <c r="L60" s="80">
        <f t="shared" si="10"/>
        <v>16325.013030609227</v>
      </c>
    </row>
    <row r="61" spans="3:12" ht="15.75" thickBot="1" x14ac:dyDescent="0.3">
      <c r="C61" s="78">
        <v>5</v>
      </c>
      <c r="D61" s="80">
        <f>+H9</f>
        <v>168532.47</v>
      </c>
      <c r="E61" s="80">
        <f>1/(1+$E$56)^5</f>
        <v>0.68058319703375303</v>
      </c>
      <c r="F61" s="80">
        <f t="shared" si="9"/>
        <v>114700.36723659508</v>
      </c>
      <c r="I61" s="78">
        <v>5</v>
      </c>
      <c r="J61" s="80">
        <f>+H15</f>
        <v>22210</v>
      </c>
      <c r="K61" s="80">
        <f>1/(1+$K$56)^5</f>
        <v>0.68058319703375303</v>
      </c>
      <c r="L61" s="80">
        <f t="shared" si="10"/>
        <v>15115.752806119655</v>
      </c>
    </row>
    <row r="62" spans="3:12" ht="15.75" thickBot="1" x14ac:dyDescent="0.3">
      <c r="C62" s="78">
        <v>6</v>
      </c>
      <c r="D62" s="80">
        <f>+I9</f>
        <v>197638.08</v>
      </c>
      <c r="E62" s="80">
        <f>1/(1+$E$56)^6</f>
        <v>0.63016962688310452</v>
      </c>
      <c r="F62" s="80">
        <f t="shared" si="9"/>
        <v>124545.51513149316</v>
      </c>
      <c r="I62" s="78">
        <v>6</v>
      </c>
      <c r="J62" s="80">
        <f>+I15</f>
        <v>23420</v>
      </c>
      <c r="K62" s="80">
        <f>1/(1+$K$56)^6</f>
        <v>0.63016962688310452</v>
      </c>
      <c r="L62" s="80">
        <f t="shared" si="10"/>
        <v>14758.572661602308</v>
      </c>
    </row>
    <row r="63" spans="3:12" ht="15.75" thickBot="1" x14ac:dyDescent="0.3">
      <c r="C63" s="78">
        <v>7</v>
      </c>
      <c r="D63" s="80">
        <f>+J9</f>
        <v>225533.69999999998</v>
      </c>
      <c r="E63" s="80">
        <f>1/(1+$E$56)^7</f>
        <v>0.58349039526213387</v>
      </c>
      <c r="F63" s="80">
        <f t="shared" si="9"/>
        <v>131596.7477579315</v>
      </c>
      <c r="I63" s="78">
        <v>7</v>
      </c>
      <c r="J63" s="80">
        <f>+J15</f>
        <v>22210</v>
      </c>
      <c r="K63" s="80">
        <f>1/(1+$K$56)^7</f>
        <v>0.58349039526213387</v>
      </c>
      <c r="L63" s="80">
        <f t="shared" si="10"/>
        <v>12959.321678771994</v>
      </c>
    </row>
    <row r="64" spans="3:12" ht="15.75" thickBot="1" x14ac:dyDescent="0.3">
      <c r="C64" s="78">
        <v>8</v>
      </c>
      <c r="D64" s="80">
        <f>+K9</f>
        <v>254639.31999999998</v>
      </c>
      <c r="E64" s="80">
        <f>1/(1+$E$56)^8</f>
        <v>0.54026888450197574</v>
      </c>
      <c r="F64" s="80">
        <f t="shared" si="9"/>
        <v>137573.70136674162</v>
      </c>
      <c r="I64" s="78">
        <v>8</v>
      </c>
      <c r="J64" s="80">
        <f>+K15</f>
        <v>22210</v>
      </c>
      <c r="K64" s="80">
        <f>1/(1+$K$56)^8</f>
        <v>0.54026888450197574</v>
      </c>
      <c r="L64" s="80">
        <f t="shared" si="10"/>
        <v>11999.371924788882</v>
      </c>
    </row>
    <row r="65" spans="3:12" ht="15.75" thickBot="1" x14ac:dyDescent="0.3">
      <c r="C65" s="78">
        <v>9</v>
      </c>
      <c r="D65" s="80">
        <f>+L9</f>
        <v>283744.92999999993</v>
      </c>
      <c r="E65" s="80">
        <f>1/(1+$E$56)^9</f>
        <v>0.50024896713145905</v>
      </c>
      <c r="F65" s="80">
        <f t="shared" si="9"/>
        <v>141943.10816128811</v>
      </c>
      <c r="I65" s="78">
        <v>9</v>
      </c>
      <c r="J65" s="80">
        <f>+L15</f>
        <v>22210</v>
      </c>
      <c r="K65" s="80">
        <f>1/(1+$K$56)^9</f>
        <v>0.50024896713145905</v>
      </c>
      <c r="L65" s="80">
        <f t="shared" si="10"/>
        <v>11110.529559989705</v>
      </c>
    </row>
    <row r="66" spans="3:12" ht="15.75" thickBot="1" x14ac:dyDescent="0.3">
      <c r="C66" s="78">
        <v>10</v>
      </c>
      <c r="D66" s="80">
        <f>+M9</f>
        <v>312850.54999999993</v>
      </c>
      <c r="E66" s="80">
        <f>1/(1+$E$56)^10</f>
        <v>0.46319348808468425</v>
      </c>
      <c r="F66" s="80">
        <f t="shared" si="9"/>
        <v>144910.33750371187</v>
      </c>
      <c r="I66" s="78">
        <v>10</v>
      </c>
      <c r="J66" s="80">
        <f>+M15</f>
        <v>22210</v>
      </c>
      <c r="K66" s="80">
        <f>1/(1+$K$56)^10</f>
        <v>0.46319348808468425</v>
      </c>
      <c r="L66" s="80">
        <f t="shared" si="10"/>
        <v>10287.527370360836</v>
      </c>
    </row>
    <row r="67" spans="3:12" ht="15.75" thickBot="1" x14ac:dyDescent="0.3">
      <c r="C67" s="78">
        <v>11</v>
      </c>
      <c r="D67" s="80">
        <f>+N9</f>
        <v>341956.16999999993</v>
      </c>
      <c r="E67" s="80">
        <f>1/(1+$E$56)^11</f>
        <v>0.42888285933767062</v>
      </c>
      <c r="F67" s="80">
        <f t="shared" si="9"/>
        <v>146659.13995775854</v>
      </c>
      <c r="I67" s="78">
        <v>11</v>
      </c>
      <c r="J67" s="80">
        <f>+N15</f>
        <v>22210</v>
      </c>
      <c r="K67" s="80">
        <f>1/(1+$K$56)^11</f>
        <v>0.42888285933767062</v>
      </c>
      <c r="L67" s="80">
        <f t="shared" si="10"/>
        <v>9525.4883058896648</v>
      </c>
    </row>
    <row r="68" spans="3:12" ht="15.75" thickBot="1" x14ac:dyDescent="0.3">
      <c r="C68" s="78">
        <v>12</v>
      </c>
      <c r="D68" s="80">
        <f>+O9</f>
        <v>371061.77999999991</v>
      </c>
      <c r="E68" s="80">
        <f>1/(1+$E$56)^12</f>
        <v>0.39711375864599124</v>
      </c>
      <c r="F68" s="80">
        <f t="shared" si="9"/>
        <v>147353.73814567187</v>
      </c>
      <c r="I68" s="78">
        <v>12</v>
      </c>
      <c r="J68" s="80">
        <f>+O15</f>
        <v>23420</v>
      </c>
      <c r="K68" s="80">
        <f>1/(1+$K$56)^12</f>
        <v>0.39711375864599124</v>
      </c>
      <c r="L68" s="80">
        <f t="shared" si="10"/>
        <v>9300.4042274891144</v>
      </c>
    </row>
    <row r="69" spans="3:12" ht="15.75" thickBot="1" x14ac:dyDescent="0.3">
      <c r="F69" s="49">
        <f>SUM(F57:F68)</f>
        <v>1397304.7301363896</v>
      </c>
      <c r="L69" s="49">
        <f>SUM(L57:L68)</f>
        <v>168702.63898573007</v>
      </c>
    </row>
    <row r="70" spans="3:12" ht="15.75" thickBot="1" x14ac:dyDescent="0.3"/>
    <row r="71" spans="3:12" ht="15.75" thickBot="1" x14ac:dyDescent="0.3">
      <c r="D71" s="50" t="s">
        <v>145</v>
      </c>
      <c r="F71" s="102" t="s">
        <v>139</v>
      </c>
      <c r="G71" s="103">
        <f>F69/(L69)</f>
        <v>8.2826489172737983</v>
      </c>
      <c r="H71" s="50" t="s">
        <v>144</v>
      </c>
    </row>
  </sheetData>
  <mergeCells count="9">
    <mergeCell ref="B2:O2"/>
    <mergeCell ref="B3:O3"/>
    <mergeCell ref="B4:O4"/>
    <mergeCell ref="P18:R18"/>
    <mergeCell ref="B16:O16"/>
    <mergeCell ref="C10:O10"/>
    <mergeCell ref="C7:O7"/>
    <mergeCell ref="D11:O11"/>
    <mergeCell ref="D18:O1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37"/>
  <sheetViews>
    <sheetView topLeftCell="A15" zoomScale="124" zoomScaleNormal="124" workbookViewId="0">
      <selection activeCell="G11" sqref="G11"/>
    </sheetView>
  </sheetViews>
  <sheetFormatPr baseColWidth="10" defaultRowHeight="15" x14ac:dyDescent="0.25"/>
  <cols>
    <col min="2" max="2" width="4.85546875" bestFit="1" customWidth="1"/>
    <col min="3" max="3" width="35.42578125" customWidth="1"/>
  </cols>
  <sheetData>
    <row r="4" spans="2:4" ht="15.75" thickBot="1" x14ac:dyDescent="0.3"/>
    <row r="5" spans="2:4" ht="15.75" thickBot="1" x14ac:dyDescent="0.3">
      <c r="B5" s="224" t="s">
        <v>68</v>
      </c>
      <c r="C5" s="225"/>
      <c r="D5" s="226"/>
    </row>
    <row r="6" spans="2:4" ht="28.5" thickTop="1" thickBot="1" x14ac:dyDescent="0.3">
      <c r="B6" s="149" t="s">
        <v>148</v>
      </c>
      <c r="C6" s="150" t="s">
        <v>65</v>
      </c>
      <c r="D6" s="151" t="s">
        <v>182</v>
      </c>
    </row>
    <row r="7" spans="2:4" ht="15.75" thickTop="1" x14ac:dyDescent="0.25">
      <c r="B7" s="147">
        <v>1</v>
      </c>
      <c r="C7" s="152" t="s">
        <v>66</v>
      </c>
      <c r="D7" s="227" t="s">
        <v>183</v>
      </c>
    </row>
    <row r="8" spans="2:4" ht="27" x14ac:dyDescent="0.25">
      <c r="B8" s="143">
        <v>1</v>
      </c>
      <c r="C8" s="141" t="s">
        <v>69</v>
      </c>
      <c r="D8" s="228"/>
    </row>
    <row r="9" spans="2:4" x14ac:dyDescent="0.25">
      <c r="B9" s="143">
        <v>1</v>
      </c>
      <c r="C9" s="141" t="s">
        <v>67</v>
      </c>
      <c r="D9" s="228"/>
    </row>
    <row r="10" spans="2:4" ht="15.75" thickBot="1" x14ac:dyDescent="0.3">
      <c r="B10" s="144">
        <v>1</v>
      </c>
      <c r="C10" s="145" t="s">
        <v>184</v>
      </c>
      <c r="D10" s="229"/>
    </row>
    <row r="11" spans="2:4" ht="15.75" thickTop="1" x14ac:dyDescent="0.25">
      <c r="B11" s="11"/>
      <c r="C11" s="57"/>
      <c r="D11" s="57"/>
    </row>
    <row r="12" spans="2:4" ht="15.75" thickBot="1" x14ac:dyDescent="0.3"/>
    <row r="13" spans="2:4" ht="15.75" thickBot="1" x14ac:dyDescent="0.3">
      <c r="B13" s="224" t="s">
        <v>178</v>
      </c>
      <c r="C13" s="225"/>
      <c r="D13" s="226"/>
    </row>
    <row r="14" spans="2:4" ht="28.5" thickTop="1" thickBot="1" x14ac:dyDescent="0.3">
      <c r="B14" s="149" t="s">
        <v>148</v>
      </c>
      <c r="C14" s="150" t="s">
        <v>65</v>
      </c>
      <c r="D14" s="151" t="s">
        <v>182</v>
      </c>
    </row>
    <row r="15" spans="2:4" ht="27.75" thickTop="1" x14ac:dyDescent="0.25">
      <c r="B15" s="147">
        <v>1</v>
      </c>
      <c r="C15" s="152" t="s">
        <v>69</v>
      </c>
      <c r="D15" s="227" t="s">
        <v>183</v>
      </c>
    </row>
    <row r="16" spans="2:4" x14ac:dyDescent="0.25">
      <c r="B16" s="143">
        <v>1</v>
      </c>
      <c r="C16" s="141" t="s">
        <v>177</v>
      </c>
      <c r="D16" s="228"/>
    </row>
    <row r="17" spans="2:4" x14ac:dyDescent="0.25">
      <c r="B17" s="143">
        <v>1</v>
      </c>
      <c r="C17" s="141" t="s">
        <v>67</v>
      </c>
      <c r="D17" s="228"/>
    </row>
    <row r="18" spans="2:4" ht="15.75" thickBot="1" x14ac:dyDescent="0.3">
      <c r="B18" s="144">
        <v>1</v>
      </c>
      <c r="C18" s="145" t="s">
        <v>179</v>
      </c>
      <c r="D18" s="229"/>
    </row>
    <row r="19" spans="2:4" ht="15.75" thickTop="1" x14ac:dyDescent="0.25">
      <c r="B19" s="11"/>
      <c r="C19" s="57"/>
      <c r="D19" s="57"/>
    </row>
    <row r="21" spans="2:4" ht="15.75" thickBot="1" x14ac:dyDescent="0.3"/>
    <row r="22" spans="2:4" ht="15.75" thickBot="1" x14ac:dyDescent="0.3">
      <c r="B22" s="224" t="s">
        <v>161</v>
      </c>
      <c r="C22" s="225"/>
      <c r="D22" s="226"/>
    </row>
    <row r="23" spans="2:4" ht="28.5" thickTop="1" thickBot="1" x14ac:dyDescent="0.3">
      <c r="B23" s="149" t="s">
        <v>148</v>
      </c>
      <c r="C23" s="150" t="s">
        <v>65</v>
      </c>
      <c r="D23" s="151" t="s">
        <v>182</v>
      </c>
    </row>
    <row r="24" spans="2:4" ht="27.75" thickTop="1" x14ac:dyDescent="0.25">
      <c r="B24" s="147">
        <v>1</v>
      </c>
      <c r="C24" s="152" t="s">
        <v>70</v>
      </c>
      <c r="D24" s="227" t="s">
        <v>185</v>
      </c>
    </row>
    <row r="25" spans="2:4" x14ac:dyDescent="0.25">
      <c r="B25" s="143">
        <v>1</v>
      </c>
      <c r="C25" s="141" t="s">
        <v>67</v>
      </c>
      <c r="D25" s="228"/>
    </row>
    <row r="26" spans="2:4" x14ac:dyDescent="0.25">
      <c r="B26" s="146">
        <v>1</v>
      </c>
      <c r="C26" s="142" t="s">
        <v>71</v>
      </c>
      <c r="D26" s="228"/>
    </row>
    <row r="27" spans="2:4" ht="15.75" thickBot="1" x14ac:dyDescent="0.3">
      <c r="B27" s="144">
        <v>1</v>
      </c>
      <c r="C27" s="145" t="s">
        <v>184</v>
      </c>
      <c r="D27" s="229"/>
    </row>
    <row r="28" spans="2:4" ht="15.75" thickTop="1" x14ac:dyDescent="0.25">
      <c r="B28" s="11"/>
      <c r="C28" s="57"/>
      <c r="D28" s="57"/>
    </row>
    <row r="29" spans="2:4" ht="15.75" thickBot="1" x14ac:dyDescent="0.3"/>
    <row r="30" spans="2:4" ht="15.75" thickBot="1" x14ac:dyDescent="0.3">
      <c r="B30" s="224" t="s">
        <v>162</v>
      </c>
      <c r="C30" s="225"/>
      <c r="D30" s="226"/>
    </row>
    <row r="31" spans="2:4" ht="28.5" thickTop="1" thickBot="1" x14ac:dyDescent="0.3">
      <c r="B31" s="149" t="s">
        <v>148</v>
      </c>
      <c r="C31" s="150" t="s">
        <v>65</v>
      </c>
      <c r="D31" s="151" t="s">
        <v>182</v>
      </c>
    </row>
    <row r="32" spans="2:4" ht="27.75" thickTop="1" x14ac:dyDescent="0.25">
      <c r="B32" s="147">
        <v>1</v>
      </c>
      <c r="C32" s="148" t="s">
        <v>187</v>
      </c>
      <c r="D32" s="227" t="s">
        <v>186</v>
      </c>
    </row>
    <row r="33" spans="2:4" ht="27" x14ac:dyDescent="0.25">
      <c r="B33" s="143">
        <v>1</v>
      </c>
      <c r="C33" s="141" t="s">
        <v>70</v>
      </c>
      <c r="D33" s="228"/>
    </row>
    <row r="34" spans="2:4" x14ac:dyDescent="0.25">
      <c r="B34" s="143">
        <v>1</v>
      </c>
      <c r="C34" s="141" t="s">
        <v>73</v>
      </c>
      <c r="D34" s="228"/>
    </row>
    <row r="35" spans="2:4" x14ac:dyDescent="0.25">
      <c r="B35" s="143">
        <v>1</v>
      </c>
      <c r="C35" s="141" t="s">
        <v>67</v>
      </c>
      <c r="D35" s="228"/>
    </row>
    <row r="36" spans="2:4" ht="15.75" thickBot="1" x14ac:dyDescent="0.3">
      <c r="B36" s="144">
        <v>1</v>
      </c>
      <c r="C36" s="145" t="s">
        <v>184</v>
      </c>
      <c r="D36" s="229"/>
    </row>
    <row r="37" spans="2:4" ht="15.75" thickTop="1" x14ac:dyDescent="0.25">
      <c r="B37" s="11"/>
      <c r="C37" s="57"/>
      <c r="D37" s="57"/>
    </row>
  </sheetData>
  <mergeCells count="8">
    <mergeCell ref="B30:D30"/>
    <mergeCell ref="D32:D36"/>
    <mergeCell ref="B5:D5"/>
    <mergeCell ref="D7:D10"/>
    <mergeCell ref="B13:D13"/>
    <mergeCell ref="D15:D18"/>
    <mergeCell ref="B22:D22"/>
    <mergeCell ref="D24:D2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0"/>
  <sheetViews>
    <sheetView workbookViewId="0">
      <selection activeCell="H18" sqref="H18"/>
    </sheetView>
  </sheetViews>
  <sheetFormatPr baseColWidth="10" defaultRowHeight="15" x14ac:dyDescent="0.25"/>
  <sheetData>
    <row r="3" spans="2:6" x14ac:dyDescent="0.25">
      <c r="B3" s="107"/>
      <c r="C3" s="107"/>
      <c r="D3" s="107"/>
      <c r="E3" s="107"/>
      <c r="F3" s="107"/>
    </row>
    <row r="4" spans="2:6" x14ac:dyDescent="0.25">
      <c r="B4" s="223" t="s">
        <v>51</v>
      </c>
      <c r="C4" s="223"/>
      <c r="D4" s="108"/>
      <c r="E4" s="109"/>
      <c r="F4" s="109"/>
    </row>
    <row r="5" spans="2:6" x14ac:dyDescent="0.25">
      <c r="B5" s="110" t="s">
        <v>170</v>
      </c>
      <c r="C5" s="111">
        <v>10000</v>
      </c>
      <c r="D5" s="112"/>
      <c r="E5" s="113"/>
      <c r="F5" s="113"/>
    </row>
    <row r="6" spans="2:6" x14ac:dyDescent="0.25">
      <c r="B6" s="110" t="s">
        <v>115</v>
      </c>
      <c r="C6" s="114">
        <v>0.11706</v>
      </c>
      <c r="D6" s="115"/>
      <c r="E6" s="113"/>
      <c r="F6" s="113"/>
    </row>
    <row r="7" spans="2:6" x14ac:dyDescent="0.25">
      <c r="B7" s="110" t="s">
        <v>171</v>
      </c>
      <c r="C7" s="116">
        <v>12</v>
      </c>
      <c r="D7" s="115"/>
      <c r="E7" s="117"/>
      <c r="F7" s="113"/>
    </row>
    <row r="8" spans="2:6" x14ac:dyDescent="0.25">
      <c r="B8" s="110" t="s">
        <v>172</v>
      </c>
      <c r="C8" s="118">
        <v>7.4999999999999997E-2</v>
      </c>
      <c r="D8" s="115"/>
      <c r="E8" s="117"/>
      <c r="F8" s="113"/>
    </row>
    <row r="9" spans="2:6" x14ac:dyDescent="0.25">
      <c r="B9" s="110" t="s">
        <v>173</v>
      </c>
      <c r="C9" s="119">
        <f>(((1+(C6))^(1/12))-1)*100</f>
        <v>0.9267701133816475</v>
      </c>
      <c r="D9" s="120"/>
      <c r="E9" s="117"/>
      <c r="F9" s="113"/>
    </row>
    <row r="10" spans="2:6" x14ac:dyDescent="0.25">
      <c r="B10" s="110" t="s">
        <v>174</v>
      </c>
      <c r="C10" s="121">
        <f>(((1+(C8/100))^(1/C7))-1)*100</f>
        <v>6.2478525914011485E-3</v>
      </c>
      <c r="D10" s="122"/>
      <c r="E10" s="117"/>
      <c r="F10" s="113"/>
    </row>
    <row r="11" spans="2:6" x14ac:dyDescent="0.25">
      <c r="B11" s="110" t="s">
        <v>175</v>
      </c>
      <c r="C11" s="123">
        <f>(SUM(C9:C10))/100</f>
        <v>9.3301796597304865E-3</v>
      </c>
      <c r="D11" s="124"/>
      <c r="E11" s="117"/>
      <c r="F11" s="113"/>
    </row>
    <row r="12" spans="2:6" x14ac:dyDescent="0.25">
      <c r="B12" s="110" t="s">
        <v>60</v>
      </c>
      <c r="C12" s="119">
        <f>C5*(((C11*((1+C11)^C7)))/(((1+C11)^C7)-1))</f>
        <v>884.73209647179488</v>
      </c>
      <c r="D12" s="120"/>
      <c r="E12" s="117"/>
      <c r="F12" s="113"/>
    </row>
    <row r="13" spans="2:6" x14ac:dyDescent="0.25">
      <c r="B13" s="107"/>
      <c r="C13" s="125"/>
      <c r="D13" s="115"/>
      <c r="E13" s="117"/>
      <c r="F13" s="113"/>
    </row>
    <row r="14" spans="2:6" x14ac:dyDescent="0.25">
      <c r="B14" s="126" t="s">
        <v>55</v>
      </c>
      <c r="C14" s="126"/>
      <c r="D14" s="126"/>
      <c r="E14" s="126"/>
      <c r="F14" s="126"/>
    </row>
    <row r="15" spans="2:6" x14ac:dyDescent="0.25">
      <c r="B15" s="126"/>
      <c r="C15" s="126"/>
      <c r="D15" s="126"/>
      <c r="E15" s="126"/>
      <c r="F15" s="126"/>
    </row>
    <row r="16" spans="2:6" x14ac:dyDescent="0.25">
      <c r="B16" s="127" t="s">
        <v>56</v>
      </c>
      <c r="C16" s="127" t="s">
        <v>57</v>
      </c>
      <c r="D16" s="127" t="s">
        <v>176</v>
      </c>
      <c r="E16" s="127" t="s">
        <v>59</v>
      </c>
      <c r="F16" s="127" t="s">
        <v>60</v>
      </c>
    </row>
    <row r="17" spans="2:6" x14ac:dyDescent="0.25">
      <c r="B17" s="128">
        <v>0</v>
      </c>
      <c r="C17" s="129">
        <f>C5</f>
        <v>10000</v>
      </c>
      <c r="D17" s="130">
        <v>0</v>
      </c>
      <c r="E17" s="130">
        <v>0</v>
      </c>
      <c r="F17" s="130">
        <v>0</v>
      </c>
    </row>
    <row r="18" spans="2:6" x14ac:dyDescent="0.25">
      <c r="B18" s="128">
        <v>1</v>
      </c>
      <c r="C18" s="130">
        <f>C17-D18</f>
        <v>9208.5697001255103</v>
      </c>
      <c r="D18" s="130">
        <f t="shared" ref="D18:D29" si="0">F18-(C17*$C$11)</f>
        <v>791.43029987448995</v>
      </c>
      <c r="E18" s="130">
        <f>F18-D18</f>
        <v>93.301796597304929</v>
      </c>
      <c r="F18" s="130">
        <f>$C$12</f>
        <v>884.73209647179488</v>
      </c>
    </row>
    <row r="19" spans="2:6" x14ac:dyDescent="0.25">
      <c r="B19" s="128">
        <f t="shared" ref="B19:B29" si="1">B18+1</f>
        <v>2</v>
      </c>
      <c r="C19" s="130">
        <f t="shared" ref="C19:C29" si="2">C18-D19</f>
        <v>8409.755213365037</v>
      </c>
      <c r="D19" s="130">
        <f t="shared" si="0"/>
        <v>798.81448676047341</v>
      </c>
      <c r="E19" s="130">
        <f t="shared" ref="E19:E29" si="3">F19-D19</f>
        <v>85.917609711321461</v>
      </c>
      <c r="F19" s="130">
        <f t="shared" ref="F19:F29" si="4">$C$12</f>
        <v>884.73209647179488</v>
      </c>
    </row>
    <row r="20" spans="2:6" x14ac:dyDescent="0.25">
      <c r="B20" s="128">
        <f t="shared" si="1"/>
        <v>3</v>
      </c>
      <c r="C20" s="130">
        <f t="shared" si="2"/>
        <v>7603.4876439282925</v>
      </c>
      <c r="D20" s="130">
        <f t="shared" si="0"/>
        <v>806.267569436744</v>
      </c>
      <c r="E20" s="130">
        <f t="shared" si="3"/>
        <v>78.464527035050878</v>
      </c>
      <c r="F20" s="130">
        <f t="shared" si="4"/>
        <v>884.73209647179488</v>
      </c>
    </row>
    <row r="21" spans="2:6" x14ac:dyDescent="0.25">
      <c r="B21" s="128">
        <f t="shared" si="1"/>
        <v>4</v>
      </c>
      <c r="C21" s="130">
        <f t="shared" si="2"/>
        <v>6789.6974532148897</v>
      </c>
      <c r="D21" s="130">
        <f t="shared" si="0"/>
        <v>813.79019071340304</v>
      </c>
      <c r="E21" s="130">
        <f t="shared" si="3"/>
        <v>70.94190575839184</v>
      </c>
      <c r="F21" s="130">
        <f t="shared" si="4"/>
        <v>884.73209647179488</v>
      </c>
    </row>
    <row r="22" spans="2:6" x14ac:dyDescent="0.25">
      <c r="B22" s="128">
        <f t="shared" si="1"/>
        <v>5</v>
      </c>
      <c r="C22" s="130">
        <f t="shared" si="2"/>
        <v>5968.3144538168044</v>
      </c>
      <c r="D22" s="130">
        <f t="shared" si="0"/>
        <v>821.38299939808542</v>
      </c>
      <c r="E22" s="130">
        <f t="shared" si="3"/>
        <v>63.349097073709459</v>
      </c>
      <c r="F22" s="130">
        <f t="shared" si="4"/>
        <v>884.73209647179488</v>
      </c>
    </row>
    <row r="23" spans="2:6" x14ac:dyDescent="0.25">
      <c r="B23" s="128">
        <f t="shared" si="1"/>
        <v>6</v>
      </c>
      <c r="C23" s="130">
        <f t="shared" si="2"/>
        <v>5139.267803464887</v>
      </c>
      <c r="D23" s="130">
        <f t="shared" si="0"/>
        <v>829.04665035191783</v>
      </c>
      <c r="E23" s="130">
        <f t="shared" si="3"/>
        <v>55.685446119877042</v>
      </c>
      <c r="F23" s="130">
        <f t="shared" si="4"/>
        <v>884.73209647179488</v>
      </c>
    </row>
    <row r="24" spans="2:6" x14ac:dyDescent="0.25">
      <c r="B24" s="128">
        <f t="shared" si="1"/>
        <v>7</v>
      </c>
      <c r="C24" s="130">
        <f t="shared" si="2"/>
        <v>4302.4859989188881</v>
      </c>
      <c r="D24" s="130">
        <f t="shared" si="0"/>
        <v>836.78180454599897</v>
      </c>
      <c r="E24" s="130">
        <f t="shared" si="3"/>
        <v>47.950291925795909</v>
      </c>
      <c r="F24" s="130">
        <f t="shared" si="4"/>
        <v>884.73209647179488</v>
      </c>
    </row>
    <row r="25" spans="2:6" x14ac:dyDescent="0.25">
      <c r="B25" s="128">
        <f t="shared" si="1"/>
        <v>8</v>
      </c>
      <c r="C25" s="130">
        <f t="shared" si="2"/>
        <v>3457.8968698004815</v>
      </c>
      <c r="D25" s="130">
        <f t="shared" si="0"/>
        <v>844.58912911840662</v>
      </c>
      <c r="E25" s="130">
        <f t="shared" si="3"/>
        <v>40.142967353388258</v>
      </c>
      <c r="F25" s="130">
        <f t="shared" si="4"/>
        <v>884.73209647179488</v>
      </c>
    </row>
    <row r="26" spans="2:6" x14ac:dyDescent="0.25">
      <c r="B26" s="128">
        <f t="shared" si="1"/>
        <v>9</v>
      </c>
      <c r="C26" s="130">
        <f t="shared" si="2"/>
        <v>2605.4275723687447</v>
      </c>
      <c r="D26" s="130">
        <f t="shared" si="0"/>
        <v>852.46929743173666</v>
      </c>
      <c r="E26" s="130">
        <f t="shared" si="3"/>
        <v>32.262799040058212</v>
      </c>
      <c r="F26" s="130">
        <f t="shared" si="4"/>
        <v>884.73209647179488</v>
      </c>
    </row>
    <row r="27" spans="2:6" x14ac:dyDescent="0.25">
      <c r="B27" s="128">
        <f t="shared" si="1"/>
        <v>10</v>
      </c>
      <c r="C27" s="130">
        <f t="shared" si="2"/>
        <v>1745.0045832375656</v>
      </c>
      <c r="D27" s="130">
        <f t="shared" si="0"/>
        <v>860.42298913117907</v>
      </c>
      <c r="E27" s="130">
        <f t="shared" si="3"/>
        <v>24.30910734061581</v>
      </c>
      <c r="F27" s="130">
        <f t="shared" si="4"/>
        <v>884.73209647179488</v>
      </c>
    </row>
    <row r="28" spans="2:6" x14ac:dyDescent="0.25">
      <c r="B28" s="128">
        <f t="shared" si="1"/>
        <v>11</v>
      </c>
      <c r="C28" s="130">
        <f t="shared" si="2"/>
        <v>876.55369303443035</v>
      </c>
      <c r="D28" s="130">
        <f t="shared" si="0"/>
        <v>868.45089020313526</v>
      </c>
      <c r="E28" s="130">
        <f t="shared" si="3"/>
        <v>16.281206268659616</v>
      </c>
      <c r="F28" s="130">
        <f t="shared" si="4"/>
        <v>884.73209647179488</v>
      </c>
    </row>
    <row r="29" spans="2:6" x14ac:dyDescent="0.25">
      <c r="B29" s="128">
        <f t="shared" si="1"/>
        <v>12</v>
      </c>
      <c r="C29" s="130">
        <f t="shared" si="2"/>
        <v>4.695266397902742E-11</v>
      </c>
      <c r="D29" s="130">
        <f t="shared" si="0"/>
        <v>876.5536930343834</v>
      </c>
      <c r="E29" s="130">
        <f t="shared" si="3"/>
        <v>8.1784034374114754</v>
      </c>
      <c r="F29" s="130">
        <f t="shared" si="4"/>
        <v>884.73209647179488</v>
      </c>
    </row>
    <row r="30" spans="2:6" x14ac:dyDescent="0.25">
      <c r="D30" s="131">
        <f>SUM(D17:D29)</f>
        <v>9999.9999999999545</v>
      </c>
      <c r="E30" s="132"/>
      <c r="F30" s="131">
        <f>SUM(F17:F29)</f>
        <v>10616.785157661538</v>
      </c>
    </row>
  </sheetData>
  <mergeCells count="1">
    <mergeCell ref="B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INVERSION INICIAL</vt:lpstr>
      <vt:lpstr>PLANILLA</vt:lpstr>
      <vt:lpstr>PRESTAMO</vt:lpstr>
      <vt:lpstr>MATERIAL-INSUMOS</vt:lpstr>
      <vt:lpstr>COSTOS</vt:lpstr>
      <vt:lpstr>ESTADO PG</vt:lpstr>
      <vt:lpstr>FLUJO DE CAJA</vt:lpstr>
      <vt:lpstr>IMPRIMIR</vt:lpstr>
      <vt:lpstr>Hoja2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Comercial</cp:lastModifiedBy>
  <dcterms:created xsi:type="dcterms:W3CDTF">2016-12-11T09:04:10Z</dcterms:created>
  <dcterms:modified xsi:type="dcterms:W3CDTF">2017-01-30T23:39:46Z</dcterms:modified>
</cp:coreProperties>
</file>