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VERSIDAD PRIVADA JOSE CARLOS MARIATEGUI\Plan de Negocios ESDAG Copia\"/>
    </mc:Choice>
  </mc:AlternateContent>
  <bookViews>
    <workbookView xWindow="0" yWindow="0" windowWidth="20490" windowHeight="7455"/>
  </bookViews>
  <sheets>
    <sheet name="INVERSION INICIAL" sheetId="1" r:id="rId1"/>
    <sheet name="RRHH" sheetId="2" r:id="rId2"/>
    <sheet name="AMORTIZACION DE PRESTAMO" sheetId="3" r:id="rId3"/>
    <sheet name="COSTO VARIABLE UNITARIO" sheetId="4" r:id="rId4"/>
    <sheet name="PUNTO DE EQUILIBRIO" sheetId="5" r:id="rId5"/>
    <sheet name="GRAFICA PUNTO DE EQUILIBRIO" sheetId="6" r:id="rId6"/>
    <sheet name="PROYECCIÓN DE VENTAS" sheetId="7" r:id="rId7"/>
    <sheet name="PRESUPUESTO DE GASTOS" sheetId="8" r:id="rId8"/>
    <sheet name="Depreciación" sheetId="10" r:id="rId9"/>
    <sheet name="EE.GG.PP." sheetId="9" r:id="rId10"/>
    <sheet name="FLUJO DE CAJA EE.FF.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9" l="1"/>
  <c r="B22" i="11" l="1"/>
  <c r="C10" i="10" l="1"/>
  <c r="C11" i="10"/>
  <c r="C12" i="10"/>
  <c r="C13" i="10"/>
  <c r="C14" i="10"/>
  <c r="C15" i="10"/>
  <c r="C16" i="10"/>
  <c r="C17" i="10"/>
  <c r="C18" i="10"/>
  <c r="C19" i="10"/>
  <c r="C20" i="10"/>
  <c r="C21" i="10"/>
  <c r="C22" i="10"/>
  <c r="C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9" i="10"/>
  <c r="B10" i="10"/>
  <c r="B11" i="10"/>
  <c r="B12" i="10"/>
  <c r="E12" i="10" s="1"/>
  <c r="H12" i="10" s="1"/>
  <c r="B13" i="10"/>
  <c r="E13" i="10" s="1"/>
  <c r="H13" i="10" s="1"/>
  <c r="B14" i="10"/>
  <c r="B15" i="10"/>
  <c r="B16" i="10"/>
  <c r="E16" i="10" s="1"/>
  <c r="H16" i="10" s="1"/>
  <c r="B17" i="10"/>
  <c r="E17" i="10" s="1"/>
  <c r="H17" i="10" s="1"/>
  <c r="B18" i="10"/>
  <c r="B19" i="10"/>
  <c r="B20" i="10"/>
  <c r="E20" i="10" s="1"/>
  <c r="H20" i="10" s="1"/>
  <c r="B21" i="10"/>
  <c r="E21" i="10" s="1"/>
  <c r="H21" i="10" s="1"/>
  <c r="B22" i="10"/>
  <c r="B9" i="10"/>
  <c r="E19" i="10" l="1"/>
  <c r="H19" i="10" s="1"/>
  <c r="E11" i="10"/>
  <c r="H11" i="10" s="1"/>
  <c r="E9" i="10"/>
  <c r="H9" i="10" s="1"/>
  <c r="E15" i="10"/>
  <c r="H15" i="10" s="1"/>
  <c r="E22" i="10"/>
  <c r="H22" i="10" s="1"/>
  <c r="E18" i="10"/>
  <c r="H18" i="10" s="1"/>
  <c r="E14" i="10"/>
  <c r="H14" i="10" s="1"/>
  <c r="E10" i="10"/>
  <c r="H10" i="10" s="1"/>
  <c r="N11" i="8"/>
  <c r="N12" i="8"/>
  <c r="N13" i="8"/>
  <c r="N14" i="8"/>
  <c r="N21" i="8" s="1"/>
  <c r="N15" i="8"/>
  <c r="N16" i="8"/>
  <c r="N17" i="8"/>
  <c r="N18" i="8"/>
  <c r="N19" i="8"/>
  <c r="N20" i="8"/>
  <c r="N10" i="8"/>
  <c r="M11" i="8"/>
  <c r="M12" i="8"/>
  <c r="M13" i="8"/>
  <c r="M14" i="8"/>
  <c r="M15" i="8"/>
  <c r="M16" i="8"/>
  <c r="M17" i="8"/>
  <c r="M18" i="8"/>
  <c r="M19" i="8"/>
  <c r="M20" i="8"/>
  <c r="M10" i="8"/>
  <c r="L11" i="8"/>
  <c r="L12" i="8"/>
  <c r="L13" i="8"/>
  <c r="L14" i="8"/>
  <c r="L15" i="8"/>
  <c r="L16" i="8"/>
  <c r="L17" i="8"/>
  <c r="L18" i="8"/>
  <c r="L19" i="8"/>
  <c r="L20" i="8"/>
  <c r="L10" i="8"/>
  <c r="K11" i="8"/>
  <c r="K12" i="8"/>
  <c r="K13" i="8"/>
  <c r="K14" i="8"/>
  <c r="K15" i="8"/>
  <c r="K16" i="8"/>
  <c r="K17" i="8"/>
  <c r="K18" i="8"/>
  <c r="K19" i="8"/>
  <c r="K20" i="8"/>
  <c r="K10" i="8"/>
  <c r="J11" i="8"/>
  <c r="J12" i="8"/>
  <c r="J13" i="8"/>
  <c r="J14" i="8"/>
  <c r="J15" i="8"/>
  <c r="J16" i="8"/>
  <c r="J17" i="8"/>
  <c r="J18" i="8"/>
  <c r="J19" i="8"/>
  <c r="J20" i="8"/>
  <c r="J10" i="8"/>
  <c r="I11" i="8"/>
  <c r="I12" i="8"/>
  <c r="I13" i="8"/>
  <c r="I14" i="8"/>
  <c r="I15" i="8"/>
  <c r="I16" i="8"/>
  <c r="I17" i="8"/>
  <c r="I18" i="8"/>
  <c r="I19" i="8"/>
  <c r="I20" i="8"/>
  <c r="I10" i="8"/>
  <c r="H11" i="8"/>
  <c r="H12" i="8"/>
  <c r="H13" i="8"/>
  <c r="H14" i="8"/>
  <c r="H15" i="8"/>
  <c r="H16" i="8"/>
  <c r="H17" i="8"/>
  <c r="H18" i="8"/>
  <c r="H19" i="8"/>
  <c r="H20" i="8"/>
  <c r="H10" i="8"/>
  <c r="G11" i="8"/>
  <c r="G12" i="8"/>
  <c r="G13" i="8"/>
  <c r="G14" i="8"/>
  <c r="G15" i="8"/>
  <c r="G16" i="8"/>
  <c r="G17" i="8"/>
  <c r="G18" i="8"/>
  <c r="G19" i="8"/>
  <c r="G20" i="8"/>
  <c r="G10" i="8"/>
  <c r="F11" i="8"/>
  <c r="F12" i="8"/>
  <c r="F13" i="8"/>
  <c r="F14" i="8"/>
  <c r="F15" i="8"/>
  <c r="F16" i="8"/>
  <c r="F17" i="8"/>
  <c r="F18" i="8"/>
  <c r="F19" i="8"/>
  <c r="F20" i="8"/>
  <c r="F10" i="8"/>
  <c r="E11" i="8"/>
  <c r="O11" i="8" s="1"/>
  <c r="E12" i="8"/>
  <c r="E13" i="8"/>
  <c r="E14" i="8"/>
  <c r="E15" i="8"/>
  <c r="E16" i="8"/>
  <c r="E17" i="8"/>
  <c r="E18" i="8"/>
  <c r="E19" i="8"/>
  <c r="E20" i="8"/>
  <c r="E10" i="8"/>
  <c r="D11" i="8"/>
  <c r="D12" i="8"/>
  <c r="D13" i="8"/>
  <c r="D14" i="8"/>
  <c r="D15" i="8"/>
  <c r="D16" i="8"/>
  <c r="D17" i="8"/>
  <c r="D18" i="8"/>
  <c r="D19" i="8"/>
  <c r="D20" i="8"/>
  <c r="D10" i="8"/>
  <c r="C11" i="8"/>
  <c r="C12" i="8"/>
  <c r="C13" i="8"/>
  <c r="C14" i="8"/>
  <c r="C15" i="8"/>
  <c r="C16" i="8"/>
  <c r="C17" i="8"/>
  <c r="C18" i="8"/>
  <c r="C19" i="8"/>
  <c r="C20" i="8"/>
  <c r="C10" i="8"/>
  <c r="E75" i="1"/>
  <c r="B44" i="8" s="1"/>
  <c r="F74" i="1"/>
  <c r="F73" i="1"/>
  <c r="F67" i="1"/>
  <c r="O11" i="7"/>
  <c r="O12" i="7"/>
  <c r="O13" i="7"/>
  <c r="O14" i="7"/>
  <c r="O15" i="7"/>
  <c r="O16" i="7"/>
  <c r="O17" i="7"/>
  <c r="O18" i="7"/>
  <c r="O19" i="7"/>
  <c r="O20" i="7"/>
  <c r="O10" i="7"/>
  <c r="N21" i="7"/>
  <c r="M21" i="7"/>
  <c r="L21" i="7"/>
  <c r="K21" i="7"/>
  <c r="J21" i="7"/>
  <c r="I21" i="7"/>
  <c r="H21" i="7"/>
  <c r="G21" i="7"/>
  <c r="E206" i="4"/>
  <c r="E234" i="4"/>
  <c r="E51" i="4"/>
  <c r="E50" i="4"/>
  <c r="E32" i="4"/>
  <c r="E18" i="4"/>
  <c r="E115" i="4"/>
  <c r="E207" i="4"/>
  <c r="E235" i="4"/>
  <c r="E66" i="1"/>
  <c r="E65" i="1"/>
  <c r="E64" i="1"/>
  <c r="E60" i="1"/>
  <c r="E59" i="1"/>
  <c r="E58" i="1"/>
  <c r="E57" i="1"/>
  <c r="F54" i="1"/>
  <c r="D21" i="7"/>
  <c r="E21" i="7"/>
  <c r="F21" i="7"/>
  <c r="C21" i="7"/>
  <c r="H23" i="10" l="1"/>
  <c r="B16" i="9" s="1"/>
  <c r="E16" i="9" s="1"/>
  <c r="I16" i="9"/>
  <c r="M16" i="9"/>
  <c r="D21" i="8"/>
  <c r="O19" i="8"/>
  <c r="O15" i="8"/>
  <c r="H21" i="8"/>
  <c r="L21" i="8"/>
  <c r="F21" i="8"/>
  <c r="J21" i="8"/>
  <c r="K21" i="8"/>
  <c r="C15" i="11"/>
  <c r="D44" i="8"/>
  <c r="H44" i="8"/>
  <c r="L44" i="8"/>
  <c r="J44" i="8"/>
  <c r="E44" i="8"/>
  <c r="I44" i="8"/>
  <c r="M44" i="8"/>
  <c r="B13" i="9"/>
  <c r="F44" i="8"/>
  <c r="C44" i="8"/>
  <c r="G44" i="8"/>
  <c r="K44" i="8"/>
  <c r="L16" i="9"/>
  <c r="K16" i="9"/>
  <c r="C16" i="9"/>
  <c r="O20" i="8"/>
  <c r="O16" i="8"/>
  <c r="O12" i="8"/>
  <c r="I21" i="8"/>
  <c r="M21" i="8"/>
  <c r="E21" i="8"/>
  <c r="G21" i="8"/>
  <c r="O10" i="8"/>
  <c r="O18" i="8"/>
  <c r="O14" i="8"/>
  <c r="O17" i="8"/>
  <c r="O13" i="8"/>
  <c r="C21" i="8"/>
  <c r="O21" i="7"/>
  <c r="F75" i="1"/>
  <c r="E70" i="1"/>
  <c r="B45" i="8" s="1"/>
  <c r="E61" i="1"/>
  <c r="B39" i="8" s="1"/>
  <c r="H16" i="9" l="1"/>
  <c r="D16" i="9"/>
  <c r="N16" i="9"/>
  <c r="J16" i="9"/>
  <c r="F16" i="9"/>
  <c r="G16" i="9"/>
  <c r="C30" i="8"/>
  <c r="C33" i="8"/>
  <c r="C29" i="8"/>
  <c r="C27" i="8"/>
  <c r="C28" i="8"/>
  <c r="C26" i="8"/>
  <c r="H15" i="11"/>
  <c r="G13" i="9"/>
  <c r="N15" i="11"/>
  <c r="M13" i="9"/>
  <c r="M15" i="11"/>
  <c r="L13" i="9"/>
  <c r="C16" i="11"/>
  <c r="C45" i="8"/>
  <c r="G45" i="8"/>
  <c r="K45" i="8"/>
  <c r="B12" i="9"/>
  <c r="M45" i="8"/>
  <c r="F45" i="8"/>
  <c r="D45" i="8"/>
  <c r="H45" i="8"/>
  <c r="L45" i="8"/>
  <c r="E45" i="8"/>
  <c r="I45" i="8"/>
  <c r="J45" i="8"/>
  <c r="D15" i="11"/>
  <c r="C13" i="9"/>
  <c r="N13" i="9" s="1"/>
  <c r="J15" i="11"/>
  <c r="I13" i="9"/>
  <c r="I15" i="11"/>
  <c r="H13" i="9"/>
  <c r="C31" i="8"/>
  <c r="C32" i="8"/>
  <c r="G15" i="11"/>
  <c r="F13" i="9"/>
  <c r="F15" i="11"/>
  <c r="E13" i="9"/>
  <c r="E15" i="11"/>
  <c r="D13" i="9"/>
  <c r="C34" i="8"/>
  <c r="C35" i="8"/>
  <c r="C36" i="8"/>
  <c r="L15" i="11"/>
  <c r="K13" i="9"/>
  <c r="K15" i="11"/>
  <c r="J13" i="9"/>
  <c r="O21" i="8"/>
  <c r="E81" i="1"/>
  <c r="E16" i="11" l="1"/>
  <c r="D12" i="9"/>
  <c r="F16" i="11"/>
  <c r="E12" i="9"/>
  <c r="H16" i="11"/>
  <c r="G12" i="9"/>
  <c r="M16" i="11"/>
  <c r="L12" i="9"/>
  <c r="N16" i="11"/>
  <c r="M12" i="9"/>
  <c r="D16" i="11"/>
  <c r="C12" i="9"/>
  <c r="N12" i="9" s="1"/>
  <c r="C37" i="8"/>
  <c r="J16" i="11"/>
  <c r="I12" i="9"/>
  <c r="L16" i="11"/>
  <c r="K12" i="9"/>
  <c r="G16" i="11"/>
  <c r="F12" i="9"/>
  <c r="K16" i="11"/>
  <c r="J12" i="9"/>
  <c r="I16" i="11"/>
  <c r="H12" i="9"/>
  <c r="D21" i="5"/>
  <c r="E20" i="5" l="1"/>
  <c r="B35" i="7" s="1"/>
  <c r="E19" i="5"/>
  <c r="B34" i="7" s="1"/>
  <c r="E18" i="5"/>
  <c r="B33" i="7" s="1"/>
  <c r="E17" i="5"/>
  <c r="B32" i="7" s="1"/>
  <c r="E16" i="5"/>
  <c r="B31" i="7" s="1"/>
  <c r="E15" i="5"/>
  <c r="B30" i="7" s="1"/>
  <c r="E14" i="5"/>
  <c r="B29" i="7" s="1"/>
  <c r="E95" i="4"/>
  <c r="F95" i="4" s="1"/>
  <c r="F94" i="4"/>
  <c r="F93" i="4"/>
  <c r="F92" i="4"/>
  <c r="F91" i="4"/>
  <c r="F90" i="4"/>
  <c r="F89" i="4"/>
  <c r="F88" i="4"/>
  <c r="F87" i="4"/>
  <c r="F86" i="4"/>
  <c r="E13" i="5"/>
  <c r="B28" i="7" s="1"/>
  <c r="E12" i="5"/>
  <c r="B27" i="7" s="1"/>
  <c r="E11" i="5"/>
  <c r="B26" i="7" s="1"/>
  <c r="E10" i="5"/>
  <c r="B25" i="7" s="1"/>
  <c r="G35" i="7" l="1"/>
  <c r="F35" i="7"/>
  <c r="N35" i="7"/>
  <c r="I35" i="7"/>
  <c r="M35" i="7"/>
  <c r="J35" i="7"/>
  <c r="E35" i="7"/>
  <c r="H35" i="7"/>
  <c r="C35" i="7"/>
  <c r="D35" i="7"/>
  <c r="K35" i="7"/>
  <c r="L35" i="7"/>
  <c r="D32" i="7"/>
  <c r="G32" i="7"/>
  <c r="J32" i="7"/>
  <c r="C32" i="7"/>
  <c r="F32" i="7"/>
  <c r="K32" i="7"/>
  <c r="N32" i="7"/>
  <c r="I32" i="7"/>
  <c r="E32" i="7"/>
  <c r="L32" i="7"/>
  <c r="M32" i="7"/>
  <c r="H32" i="7"/>
  <c r="G31" i="7"/>
  <c r="J31" i="7"/>
  <c r="M31" i="7"/>
  <c r="E31" i="7"/>
  <c r="F31" i="7"/>
  <c r="N31" i="7"/>
  <c r="I31" i="7"/>
  <c r="D31" i="7"/>
  <c r="K31" i="7"/>
  <c r="H31" i="7"/>
  <c r="L31" i="7"/>
  <c r="C31" i="7"/>
  <c r="O31" i="7" s="1"/>
  <c r="G27" i="7"/>
  <c r="F27" i="7"/>
  <c r="N27" i="7"/>
  <c r="M27" i="7"/>
  <c r="I27" i="7"/>
  <c r="J27" i="7"/>
  <c r="E27" i="7"/>
  <c r="H27" i="7"/>
  <c r="D27" i="7"/>
  <c r="L27" i="7"/>
  <c r="C27" i="7"/>
  <c r="K27" i="7"/>
  <c r="E29" i="7"/>
  <c r="L29" i="7"/>
  <c r="H29" i="7"/>
  <c r="D29" i="7"/>
  <c r="K29" i="7"/>
  <c r="J29" i="7"/>
  <c r="C29" i="7"/>
  <c r="I29" i="7"/>
  <c r="M29" i="7"/>
  <c r="F29" i="7"/>
  <c r="G29" i="7"/>
  <c r="N29" i="7"/>
  <c r="E33" i="7"/>
  <c r="D33" i="7"/>
  <c r="H33" i="7"/>
  <c r="L33" i="7"/>
  <c r="N33" i="7"/>
  <c r="M33" i="7"/>
  <c r="C33" i="7"/>
  <c r="K33" i="7"/>
  <c r="G33" i="7"/>
  <c r="J33" i="7"/>
  <c r="I33" i="7"/>
  <c r="F33" i="7"/>
  <c r="D28" i="7"/>
  <c r="K28" i="7"/>
  <c r="F28" i="7"/>
  <c r="N28" i="7"/>
  <c r="G28" i="7"/>
  <c r="C28" i="7"/>
  <c r="J28" i="7"/>
  <c r="E28" i="7"/>
  <c r="I28" i="7"/>
  <c r="L28" i="7"/>
  <c r="M28" i="7"/>
  <c r="H28" i="7"/>
  <c r="F30" i="7"/>
  <c r="H30" i="7"/>
  <c r="J30" i="7"/>
  <c r="C30" i="7"/>
  <c r="K30" i="7"/>
  <c r="N30" i="7"/>
  <c r="I30" i="7"/>
  <c r="L30" i="7"/>
  <c r="G30" i="7"/>
  <c r="M30" i="7"/>
  <c r="D30" i="7"/>
  <c r="E30" i="7"/>
  <c r="F34" i="7"/>
  <c r="D34" i="7"/>
  <c r="M34" i="7"/>
  <c r="H34" i="7"/>
  <c r="N34" i="7"/>
  <c r="G34" i="7"/>
  <c r="J34" i="7"/>
  <c r="E34" i="7"/>
  <c r="I34" i="7"/>
  <c r="L34" i="7"/>
  <c r="C34" i="7"/>
  <c r="K34" i="7"/>
  <c r="F26" i="7"/>
  <c r="M26" i="7"/>
  <c r="L26" i="7"/>
  <c r="N26" i="7"/>
  <c r="J26" i="7"/>
  <c r="D26" i="7"/>
  <c r="I26" i="7"/>
  <c r="H26" i="7"/>
  <c r="E26" i="7"/>
  <c r="C26" i="7"/>
  <c r="K26" i="7"/>
  <c r="G26" i="7"/>
  <c r="E25" i="7"/>
  <c r="D25" i="7"/>
  <c r="L25" i="7"/>
  <c r="G25" i="7"/>
  <c r="K25" i="7"/>
  <c r="H25" i="7"/>
  <c r="C25" i="7"/>
  <c r="N25" i="7"/>
  <c r="F25" i="7"/>
  <c r="J25" i="7"/>
  <c r="M25" i="7"/>
  <c r="I25" i="7"/>
  <c r="I36" i="7" s="1"/>
  <c r="F96" i="4"/>
  <c r="F53" i="1"/>
  <c r="E259" i="4"/>
  <c r="F259" i="4" s="1"/>
  <c r="F248" i="4"/>
  <c r="E260" i="4"/>
  <c r="F260" i="4" s="1"/>
  <c r="F258" i="4"/>
  <c r="F257" i="4"/>
  <c r="F256" i="4"/>
  <c r="F255" i="4"/>
  <c r="F254" i="4"/>
  <c r="F253" i="4"/>
  <c r="F252" i="4"/>
  <c r="F251" i="4"/>
  <c r="F250" i="4"/>
  <c r="F249" i="4"/>
  <c r="F247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06" i="4"/>
  <c r="F207" i="4"/>
  <c r="F194" i="4"/>
  <c r="F205" i="4"/>
  <c r="F204" i="4"/>
  <c r="F203" i="4"/>
  <c r="F202" i="4"/>
  <c r="F201" i="4"/>
  <c r="F200" i="4"/>
  <c r="F199" i="4"/>
  <c r="F198" i="4"/>
  <c r="F197" i="4"/>
  <c r="F196" i="4"/>
  <c r="F195" i="4"/>
  <c r="F193" i="4"/>
  <c r="E171" i="4"/>
  <c r="F171" i="4" s="1"/>
  <c r="E170" i="4"/>
  <c r="F170" i="4" s="1"/>
  <c r="F169" i="4"/>
  <c r="F168" i="4"/>
  <c r="F167" i="4"/>
  <c r="F166" i="4"/>
  <c r="F165" i="4"/>
  <c r="F164" i="4"/>
  <c r="F163" i="4"/>
  <c r="F162" i="4"/>
  <c r="F161" i="4"/>
  <c r="F160" i="4"/>
  <c r="F159" i="4"/>
  <c r="F158" i="4"/>
  <c r="F137" i="4"/>
  <c r="F138" i="4"/>
  <c r="E144" i="4"/>
  <c r="F144" i="4" s="1"/>
  <c r="F143" i="4"/>
  <c r="F142" i="4"/>
  <c r="F141" i="4"/>
  <c r="F140" i="4"/>
  <c r="F139" i="4"/>
  <c r="F136" i="4"/>
  <c r="F135" i="4"/>
  <c r="F134" i="4"/>
  <c r="F133" i="4"/>
  <c r="F132" i="4"/>
  <c r="F115" i="4"/>
  <c r="F106" i="4"/>
  <c r="F114" i="4"/>
  <c r="F113" i="4"/>
  <c r="F112" i="4"/>
  <c r="F111" i="4"/>
  <c r="F110" i="4"/>
  <c r="F109" i="4"/>
  <c r="F108" i="4"/>
  <c r="F107" i="4"/>
  <c r="F105" i="4"/>
  <c r="F71" i="4"/>
  <c r="F75" i="4"/>
  <c r="F74" i="4"/>
  <c r="F69" i="4"/>
  <c r="F70" i="4"/>
  <c r="E76" i="4"/>
  <c r="F76" i="4" s="1"/>
  <c r="F73" i="4"/>
  <c r="F72" i="4"/>
  <c r="F68" i="4"/>
  <c r="F67" i="4"/>
  <c r="F49" i="4"/>
  <c r="F45" i="4"/>
  <c r="F51" i="4"/>
  <c r="F50" i="4"/>
  <c r="F48" i="4"/>
  <c r="F32" i="4"/>
  <c r="F18" i="4"/>
  <c r="F44" i="4"/>
  <c r="F47" i="4"/>
  <c r="F46" i="4"/>
  <c r="F43" i="4"/>
  <c r="F31" i="4"/>
  <c r="F30" i="4"/>
  <c r="F29" i="4"/>
  <c r="F17" i="4"/>
  <c r="F16" i="4"/>
  <c r="F15" i="4"/>
  <c r="O30" i="7" l="1"/>
  <c r="O33" i="7"/>
  <c r="O29" i="7"/>
  <c r="O27" i="7"/>
  <c r="O34" i="7"/>
  <c r="O32" i="7"/>
  <c r="J36" i="7"/>
  <c r="D36" i="7"/>
  <c r="O28" i="7"/>
  <c r="I10" i="11"/>
  <c r="I11" i="11" s="1"/>
  <c r="H9" i="9"/>
  <c r="F36" i="7"/>
  <c r="E36" i="7"/>
  <c r="O35" i="7"/>
  <c r="G36" i="7"/>
  <c r="H36" i="7"/>
  <c r="O26" i="7"/>
  <c r="O25" i="7"/>
  <c r="C36" i="7"/>
  <c r="K36" i="7"/>
  <c r="F98" i="4"/>
  <c r="F14" i="5"/>
  <c r="B30" i="8" s="1"/>
  <c r="D30" i="8" s="1"/>
  <c r="F261" i="4"/>
  <c r="F236" i="4"/>
  <c r="F208" i="4"/>
  <c r="F145" i="4"/>
  <c r="F16" i="5" s="1"/>
  <c r="B32" i="8" s="1"/>
  <c r="D32" i="8" s="1"/>
  <c r="F116" i="4"/>
  <c r="F15" i="5" s="1"/>
  <c r="B31" i="8" s="1"/>
  <c r="D31" i="8" s="1"/>
  <c r="F77" i="4"/>
  <c r="F19" i="4"/>
  <c r="F52" i="4"/>
  <c r="F33" i="4"/>
  <c r="D14" i="3"/>
  <c r="C13" i="3"/>
  <c r="C14" i="3"/>
  <c r="D13" i="3"/>
  <c r="D15" i="3" s="1"/>
  <c r="C10" i="3"/>
  <c r="C17" i="3" s="1"/>
  <c r="E94" i="1"/>
  <c r="F25" i="2"/>
  <c r="I25" i="2"/>
  <c r="I23" i="2"/>
  <c r="I24" i="2"/>
  <c r="I22" i="2"/>
  <c r="H23" i="2"/>
  <c r="G23" i="2"/>
  <c r="J23" i="2" s="1"/>
  <c r="G24" i="2"/>
  <c r="H24" i="2" s="1"/>
  <c r="G22" i="2"/>
  <c r="G25" i="2" s="1"/>
  <c r="E25" i="2"/>
  <c r="F16" i="2"/>
  <c r="F27" i="2" s="1"/>
  <c r="E16" i="2"/>
  <c r="E27" i="2" s="1"/>
  <c r="I13" i="2"/>
  <c r="I14" i="2"/>
  <c r="I15" i="2"/>
  <c r="I12" i="2"/>
  <c r="H15" i="2"/>
  <c r="G13" i="2"/>
  <c r="G14" i="2"/>
  <c r="G15" i="2"/>
  <c r="G12" i="2"/>
  <c r="H12" i="2" s="1"/>
  <c r="F69" i="1"/>
  <c r="F65" i="1"/>
  <c r="F66" i="1"/>
  <c r="F64" i="1"/>
  <c r="F58" i="1"/>
  <c r="F59" i="1"/>
  <c r="F60" i="1"/>
  <c r="F57" i="1"/>
  <c r="F50" i="1"/>
  <c r="F51" i="1"/>
  <c r="F52" i="1"/>
  <c r="F55" i="1"/>
  <c r="F49" i="1"/>
  <c r="E38" i="1"/>
  <c r="E37" i="1"/>
  <c r="E36" i="1"/>
  <c r="E35" i="1"/>
  <c r="E34" i="1"/>
  <c r="E33" i="1"/>
  <c r="E32" i="1"/>
  <c r="E31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10" i="1"/>
  <c r="K10" i="11" l="1"/>
  <c r="K11" i="11" s="1"/>
  <c r="J9" i="9"/>
  <c r="F10" i="11"/>
  <c r="F11" i="11" s="1"/>
  <c r="E9" i="9"/>
  <c r="H31" i="8"/>
  <c r="O31" i="8"/>
  <c r="K31" i="8"/>
  <c r="N31" i="8"/>
  <c r="G31" i="8"/>
  <c r="I31" i="8"/>
  <c r="E31" i="8"/>
  <c r="M31" i="8"/>
  <c r="F31" i="8"/>
  <c r="L31" i="8"/>
  <c r="P31" i="8"/>
  <c r="J31" i="8"/>
  <c r="C10" i="11"/>
  <c r="C11" i="11" s="1"/>
  <c r="B9" i="9"/>
  <c r="G10" i="11"/>
  <c r="G11" i="11" s="1"/>
  <c r="F9" i="9"/>
  <c r="J10" i="11"/>
  <c r="J11" i="11" s="1"/>
  <c r="I9" i="9"/>
  <c r="E10" i="11"/>
  <c r="E11" i="11" s="1"/>
  <c r="D9" i="9"/>
  <c r="H10" i="11"/>
  <c r="H11" i="11" s="1"/>
  <c r="G9" i="9"/>
  <c r="D10" i="11"/>
  <c r="D11" i="11" s="1"/>
  <c r="C9" i="9"/>
  <c r="O32" i="8"/>
  <c r="H32" i="8"/>
  <c r="J32" i="8"/>
  <c r="K32" i="8"/>
  <c r="L32" i="8"/>
  <c r="G32" i="8"/>
  <c r="I32" i="8"/>
  <c r="E32" i="8"/>
  <c r="P32" i="8"/>
  <c r="M32" i="8"/>
  <c r="N32" i="8"/>
  <c r="F32" i="8"/>
  <c r="M30" i="8"/>
  <c r="N30" i="8"/>
  <c r="K30" i="8"/>
  <c r="E30" i="8"/>
  <c r="J30" i="8"/>
  <c r="H30" i="8"/>
  <c r="L30" i="8"/>
  <c r="O30" i="8"/>
  <c r="F30" i="8"/>
  <c r="P30" i="8"/>
  <c r="I30" i="8"/>
  <c r="G30" i="8"/>
  <c r="O36" i="7"/>
  <c r="C15" i="3"/>
  <c r="F61" i="1"/>
  <c r="F70" i="1"/>
  <c r="L36" i="7"/>
  <c r="H22" i="2"/>
  <c r="J24" i="2"/>
  <c r="J15" i="2"/>
  <c r="H13" i="2"/>
  <c r="J13" i="2" s="1"/>
  <c r="G16" i="2"/>
  <c r="G27" i="2" s="1"/>
  <c r="J12" i="2"/>
  <c r="I16" i="2"/>
  <c r="I27" i="2" s="1"/>
  <c r="H14" i="2"/>
  <c r="H16" i="2" s="1"/>
  <c r="F263" i="4"/>
  <c r="F20" i="5"/>
  <c r="B36" i="8" s="1"/>
  <c r="D36" i="8" s="1"/>
  <c r="F238" i="4"/>
  <c r="F19" i="5"/>
  <c r="B35" i="8" s="1"/>
  <c r="D35" i="8" s="1"/>
  <c r="F210" i="4"/>
  <c r="F18" i="5"/>
  <c r="B34" i="8" s="1"/>
  <c r="D34" i="8" s="1"/>
  <c r="E88" i="1"/>
  <c r="E26" i="5"/>
  <c r="F35" i="4"/>
  <c r="F11" i="5"/>
  <c r="B27" i="8" s="1"/>
  <c r="D27" i="8" s="1"/>
  <c r="F118" i="4"/>
  <c r="F21" i="4"/>
  <c r="F10" i="5"/>
  <c r="B26" i="8" s="1"/>
  <c r="D26" i="8" s="1"/>
  <c r="F79" i="4"/>
  <c r="F13" i="5"/>
  <c r="B29" i="8" s="1"/>
  <c r="D29" i="8" s="1"/>
  <c r="F54" i="4"/>
  <c r="F12" i="5"/>
  <c r="B28" i="8" s="1"/>
  <c r="D28" i="8" s="1"/>
  <c r="F147" i="4"/>
  <c r="C22" i="3"/>
  <c r="E23" i="3" s="1"/>
  <c r="C24" i="11" s="1"/>
  <c r="E24" i="1"/>
  <c r="E39" i="1"/>
  <c r="Q32" i="8" l="1"/>
  <c r="Q30" i="8"/>
  <c r="I34" i="8"/>
  <c r="G34" i="8"/>
  <c r="N34" i="8"/>
  <c r="K34" i="8"/>
  <c r="O34" i="8"/>
  <c r="M34" i="8"/>
  <c r="J34" i="8"/>
  <c r="E34" i="8"/>
  <c r="P34" i="8"/>
  <c r="F34" i="8"/>
  <c r="L34" i="8"/>
  <c r="H34" i="8"/>
  <c r="O28" i="8"/>
  <c r="H28" i="8"/>
  <c r="M28" i="8"/>
  <c r="N28" i="8"/>
  <c r="K28" i="8"/>
  <c r="L28" i="8"/>
  <c r="F28" i="8"/>
  <c r="G28" i="8"/>
  <c r="I28" i="8"/>
  <c r="P28" i="8"/>
  <c r="E28" i="8"/>
  <c r="J28" i="8"/>
  <c r="O36" i="8"/>
  <c r="P36" i="8"/>
  <c r="I36" i="8"/>
  <c r="H36" i="8"/>
  <c r="F36" i="8"/>
  <c r="L36" i="8"/>
  <c r="N36" i="8"/>
  <c r="E36" i="8"/>
  <c r="M36" i="8"/>
  <c r="G36" i="8"/>
  <c r="K36" i="8"/>
  <c r="J36" i="8"/>
  <c r="Q31" i="8"/>
  <c r="P35" i="8"/>
  <c r="H35" i="8"/>
  <c r="J35" i="8"/>
  <c r="M35" i="8"/>
  <c r="L35" i="8"/>
  <c r="N35" i="8"/>
  <c r="I35" i="8"/>
  <c r="G35" i="8"/>
  <c r="F35" i="8"/>
  <c r="E35" i="8"/>
  <c r="O35" i="8"/>
  <c r="K35" i="8"/>
  <c r="L10" i="11"/>
  <c r="L11" i="11" s="1"/>
  <c r="K9" i="9"/>
  <c r="G26" i="8"/>
  <c r="K26" i="8"/>
  <c r="O26" i="8"/>
  <c r="F26" i="8"/>
  <c r="N26" i="8"/>
  <c r="H26" i="8"/>
  <c r="L26" i="8"/>
  <c r="P26" i="8"/>
  <c r="I26" i="8"/>
  <c r="M26" i="8"/>
  <c r="E26" i="8"/>
  <c r="J26" i="8"/>
  <c r="F29" i="8"/>
  <c r="J29" i="8"/>
  <c r="N29" i="8"/>
  <c r="E29" i="8"/>
  <c r="I29" i="8"/>
  <c r="G29" i="8"/>
  <c r="K29" i="8"/>
  <c r="O29" i="8"/>
  <c r="M29" i="8"/>
  <c r="H29" i="8"/>
  <c r="L29" i="8"/>
  <c r="P29" i="8"/>
  <c r="H27" i="8"/>
  <c r="L27" i="8"/>
  <c r="P27" i="8"/>
  <c r="K27" i="8"/>
  <c r="I27" i="8"/>
  <c r="M27" i="8"/>
  <c r="O27" i="8"/>
  <c r="F27" i="8"/>
  <c r="J27" i="8"/>
  <c r="N27" i="8"/>
  <c r="E27" i="8"/>
  <c r="G27" i="8"/>
  <c r="F81" i="1"/>
  <c r="F27" i="3"/>
  <c r="E78" i="1"/>
  <c r="M36" i="7"/>
  <c r="J22" i="2"/>
  <c r="J25" i="2" s="1"/>
  <c r="H25" i="2"/>
  <c r="H27" i="2" s="1"/>
  <c r="J14" i="2"/>
  <c r="J16" i="2" s="1"/>
  <c r="J27" i="2" s="1"/>
  <c r="F23" i="3"/>
  <c r="D23" i="3" s="1"/>
  <c r="F26" i="3"/>
  <c r="F25" i="3"/>
  <c r="F28" i="3"/>
  <c r="F34" i="3"/>
  <c r="F31" i="3"/>
  <c r="F24" i="3"/>
  <c r="F33" i="3"/>
  <c r="C28" i="6"/>
  <c r="C23" i="6"/>
  <c r="C19" i="6"/>
  <c r="C25" i="6"/>
  <c r="C18" i="6"/>
  <c r="C29" i="6"/>
  <c r="C27" i="6"/>
  <c r="C22" i="6"/>
  <c r="C26" i="6"/>
  <c r="C30" i="6"/>
  <c r="C21" i="6"/>
  <c r="C24" i="6"/>
  <c r="C20" i="6"/>
  <c r="F32" i="3"/>
  <c r="F29" i="3"/>
  <c r="F30" i="3"/>
  <c r="G13" i="5"/>
  <c r="G17" i="5"/>
  <c r="G10" i="5"/>
  <c r="L10" i="5" s="1"/>
  <c r="G19" i="5"/>
  <c r="G16" i="5"/>
  <c r="G14" i="5"/>
  <c r="G18" i="5"/>
  <c r="G11" i="5"/>
  <c r="G15" i="5"/>
  <c r="G12" i="5"/>
  <c r="G20" i="5"/>
  <c r="E10" i="6"/>
  <c r="E41" i="1"/>
  <c r="Q35" i="8" l="1"/>
  <c r="Q28" i="8"/>
  <c r="M10" i="11"/>
  <c r="M11" i="11" s="1"/>
  <c r="L9" i="9"/>
  <c r="Q36" i="8"/>
  <c r="Q34" i="8"/>
  <c r="C23" i="3"/>
  <c r="E24" i="3" s="1"/>
  <c r="D24" i="11" s="1"/>
  <c r="C23" i="11"/>
  <c r="C25" i="11" s="1"/>
  <c r="Q29" i="8"/>
  <c r="Q27" i="8"/>
  <c r="Q26" i="8"/>
  <c r="F78" i="1"/>
  <c r="F79" i="1" s="1"/>
  <c r="E79" i="1"/>
  <c r="B46" i="8" s="1"/>
  <c r="D88" i="1"/>
  <c r="N36" i="7"/>
  <c r="F35" i="3"/>
  <c r="K13" i="5"/>
  <c r="L13" i="5"/>
  <c r="K11" i="5"/>
  <c r="L11" i="5"/>
  <c r="K19" i="5"/>
  <c r="L19" i="5"/>
  <c r="K12" i="5"/>
  <c r="L12" i="5"/>
  <c r="K14" i="5"/>
  <c r="L14" i="5"/>
  <c r="K15" i="5"/>
  <c r="L15" i="5"/>
  <c r="K16" i="5"/>
  <c r="L16" i="5"/>
  <c r="K20" i="5"/>
  <c r="L20" i="5"/>
  <c r="K18" i="5"/>
  <c r="L18" i="5"/>
  <c r="K10" i="5"/>
  <c r="G21" i="5"/>
  <c r="D24" i="3"/>
  <c r="D23" i="11" s="1"/>
  <c r="D25" i="11" l="1"/>
  <c r="N10" i="11"/>
  <c r="N11" i="11" s="1"/>
  <c r="M9" i="9"/>
  <c r="C46" i="8"/>
  <c r="F46" i="8"/>
  <c r="J46" i="8"/>
  <c r="E46" i="8"/>
  <c r="G46" i="8"/>
  <c r="K46" i="8"/>
  <c r="I46" i="8"/>
  <c r="B15" i="9"/>
  <c r="D46" i="8"/>
  <c r="H46" i="8"/>
  <c r="L46" i="8"/>
  <c r="M46" i="8"/>
  <c r="F88" i="1"/>
  <c r="B13" i="11" s="1"/>
  <c r="I20" i="5"/>
  <c r="B20" i="7"/>
  <c r="B20" i="8" s="1"/>
  <c r="I11" i="5"/>
  <c r="B11" i="7"/>
  <c r="B11" i="8" s="1"/>
  <c r="I15" i="5"/>
  <c r="B15" i="7"/>
  <c r="B15" i="8" s="1"/>
  <c r="I18" i="5"/>
  <c r="B18" i="7"/>
  <c r="B18" i="8" s="1"/>
  <c r="I14" i="5"/>
  <c r="B14" i="7"/>
  <c r="B14" i="8" s="1"/>
  <c r="I19" i="5"/>
  <c r="B19" i="7"/>
  <c r="B19" i="8" s="1"/>
  <c r="I13" i="5"/>
  <c r="B13" i="7"/>
  <c r="B13" i="8" s="1"/>
  <c r="I10" i="5"/>
  <c r="B10" i="7"/>
  <c r="B10" i="8" s="1"/>
  <c r="I12" i="5"/>
  <c r="B12" i="7"/>
  <c r="B12" i="8" s="1"/>
  <c r="I16" i="5"/>
  <c r="B16" i="7"/>
  <c r="B16" i="8" s="1"/>
  <c r="H20" i="5"/>
  <c r="H11" i="5"/>
  <c r="H10" i="5"/>
  <c r="H15" i="5"/>
  <c r="H12" i="5"/>
  <c r="H18" i="5"/>
  <c r="H16" i="5"/>
  <c r="H14" i="5"/>
  <c r="H19" i="5"/>
  <c r="H13" i="5"/>
  <c r="C24" i="3"/>
  <c r="E25" i="3" s="1"/>
  <c r="E24" i="11" s="1"/>
  <c r="B37" i="11" l="1"/>
  <c r="B32" i="11"/>
  <c r="L15" i="9"/>
  <c r="I15" i="9"/>
  <c r="E15" i="9"/>
  <c r="H15" i="9"/>
  <c r="K15" i="9"/>
  <c r="J15" i="9"/>
  <c r="D15" i="9"/>
  <c r="G15" i="9"/>
  <c r="F15" i="9"/>
  <c r="M15" i="9"/>
  <c r="C15" i="9"/>
  <c r="N15" i="9" s="1"/>
  <c r="D25" i="3"/>
  <c r="E23" i="11" s="1"/>
  <c r="E25" i="11" s="1"/>
  <c r="C25" i="3" l="1"/>
  <c r="E26" i="3" s="1"/>
  <c r="F24" i="11" s="1"/>
  <c r="D26" i="3" l="1"/>
  <c r="F23" i="11" s="1"/>
  <c r="F25" i="11" s="1"/>
  <c r="C26" i="3" l="1"/>
  <c r="E27" i="3" s="1"/>
  <c r="G24" i="11" s="1"/>
  <c r="D27" i="3" l="1"/>
  <c r="G23" i="11" s="1"/>
  <c r="G25" i="11" s="1"/>
  <c r="C27" i="3" l="1"/>
  <c r="E28" i="3" s="1"/>
  <c r="H24" i="11" s="1"/>
  <c r="D28" i="3" l="1"/>
  <c r="H23" i="11" s="1"/>
  <c r="H25" i="11" s="1"/>
  <c r="C28" i="3" l="1"/>
  <c r="E29" i="3" s="1"/>
  <c r="I24" i="11" s="1"/>
  <c r="D29" i="3" l="1"/>
  <c r="I23" i="11" s="1"/>
  <c r="I25" i="11" s="1"/>
  <c r="C29" i="3" l="1"/>
  <c r="E30" i="3" s="1"/>
  <c r="J24" i="11" s="1"/>
  <c r="D30" i="3" l="1"/>
  <c r="J23" i="11" s="1"/>
  <c r="J25" i="11" s="1"/>
  <c r="C30" i="3" l="1"/>
  <c r="E31" i="3" s="1"/>
  <c r="K24" i="11" s="1"/>
  <c r="D31" i="3" l="1"/>
  <c r="K23" i="11" s="1"/>
  <c r="K25" i="11" s="1"/>
  <c r="C31" i="3" l="1"/>
  <c r="E32" i="3" s="1"/>
  <c r="L24" i="11" s="1"/>
  <c r="D32" i="3" l="1"/>
  <c r="C32" i="3" l="1"/>
  <c r="E33" i="3" s="1"/>
  <c r="M24" i="11" s="1"/>
  <c r="L23" i="11"/>
  <c r="L25" i="11" s="1"/>
  <c r="D33" i="3" l="1"/>
  <c r="M23" i="11" s="1"/>
  <c r="M25" i="11" s="1"/>
  <c r="C33" i="3"/>
  <c r="E34" i="3" s="1"/>
  <c r="N24" i="11" s="1"/>
  <c r="D34" i="3" l="1"/>
  <c r="N23" i="11" s="1"/>
  <c r="N25" i="11" s="1"/>
  <c r="H34" i="3"/>
  <c r="G34" i="3"/>
  <c r="C34" i="3" l="1"/>
  <c r="E35" i="3"/>
  <c r="H35" i="3"/>
  <c r="D35" i="3" l="1"/>
  <c r="G35" i="3"/>
  <c r="F172" i="4" l="1"/>
  <c r="F17" i="5" s="1"/>
  <c r="B33" i="8" s="1"/>
  <c r="D33" i="8" s="1"/>
  <c r="I33" i="8" l="1"/>
  <c r="I37" i="8" s="1"/>
  <c r="F43" i="8" s="1"/>
  <c r="J33" i="8"/>
  <c r="J37" i="8" s="1"/>
  <c r="G43" i="8" s="1"/>
  <c r="O33" i="8"/>
  <c r="O37" i="8" s="1"/>
  <c r="L43" i="8" s="1"/>
  <c r="F33" i="8"/>
  <c r="F37" i="8" s="1"/>
  <c r="C43" i="8" s="1"/>
  <c r="M33" i="8"/>
  <c r="M37" i="8" s="1"/>
  <c r="J43" i="8" s="1"/>
  <c r="P33" i="8"/>
  <c r="P37" i="8" s="1"/>
  <c r="M43" i="8" s="1"/>
  <c r="K33" i="8"/>
  <c r="K37" i="8" s="1"/>
  <c r="H43" i="8" s="1"/>
  <c r="H33" i="8"/>
  <c r="H37" i="8" s="1"/>
  <c r="E43" i="8" s="1"/>
  <c r="L33" i="8"/>
  <c r="L37" i="8" s="1"/>
  <c r="I43" i="8" s="1"/>
  <c r="G33" i="8"/>
  <c r="G37" i="8" s="1"/>
  <c r="D43" i="8" s="1"/>
  <c r="E33" i="8"/>
  <c r="N33" i="8"/>
  <c r="N37" i="8" s="1"/>
  <c r="K43" i="8" s="1"/>
  <c r="L17" i="5"/>
  <c r="K17" i="5"/>
  <c r="F174" i="4"/>
  <c r="K10" i="9" l="1"/>
  <c r="K11" i="9" s="1"/>
  <c r="K14" i="9" s="1"/>
  <c r="K17" i="9" s="1"/>
  <c r="K18" i="9" s="1"/>
  <c r="K19" i="9" s="1"/>
  <c r="L14" i="11"/>
  <c r="L17" i="11" s="1"/>
  <c r="L19" i="11" s="1"/>
  <c r="K47" i="8"/>
  <c r="F14" i="11"/>
  <c r="F17" i="11" s="1"/>
  <c r="F19" i="11" s="1"/>
  <c r="E10" i="9"/>
  <c r="E11" i="9" s="1"/>
  <c r="E14" i="9" s="1"/>
  <c r="E17" i="9" s="1"/>
  <c r="E18" i="9" s="1"/>
  <c r="E19" i="9" s="1"/>
  <c r="E47" i="8"/>
  <c r="Q33" i="8"/>
  <c r="Q37" i="8" s="1"/>
  <c r="E37" i="8"/>
  <c r="B43" i="8" s="1"/>
  <c r="I14" i="11"/>
  <c r="I17" i="11" s="1"/>
  <c r="I19" i="11" s="1"/>
  <c r="H10" i="9"/>
  <c r="H11" i="9" s="1"/>
  <c r="H14" i="9" s="1"/>
  <c r="H17" i="9" s="1"/>
  <c r="H18" i="9" s="1"/>
  <c r="H19" i="9" s="1"/>
  <c r="H47" i="8"/>
  <c r="M14" i="11"/>
  <c r="M17" i="11" s="1"/>
  <c r="M19" i="11" s="1"/>
  <c r="L10" i="9"/>
  <c r="L11" i="9" s="1"/>
  <c r="L14" i="9" s="1"/>
  <c r="L17" i="9" s="1"/>
  <c r="L18" i="9" s="1"/>
  <c r="L19" i="9" s="1"/>
  <c r="L47" i="8"/>
  <c r="E14" i="11"/>
  <c r="E17" i="11" s="1"/>
  <c r="E19" i="11" s="1"/>
  <c r="D10" i="9"/>
  <c r="D11" i="9" s="1"/>
  <c r="D14" i="9" s="1"/>
  <c r="D17" i="9" s="1"/>
  <c r="D18" i="9" s="1"/>
  <c r="D19" i="9" s="1"/>
  <c r="D47" i="8"/>
  <c r="M10" i="9"/>
  <c r="M11" i="9" s="1"/>
  <c r="M14" i="9" s="1"/>
  <c r="M17" i="9" s="1"/>
  <c r="M18" i="9" s="1"/>
  <c r="M19" i="9" s="1"/>
  <c r="N14" i="11"/>
  <c r="N17" i="11" s="1"/>
  <c r="N19" i="11" s="1"/>
  <c r="M47" i="8"/>
  <c r="H14" i="11"/>
  <c r="H17" i="11" s="1"/>
  <c r="H19" i="11" s="1"/>
  <c r="G10" i="9"/>
  <c r="G11" i="9" s="1"/>
  <c r="G14" i="9" s="1"/>
  <c r="G17" i="9" s="1"/>
  <c r="G18" i="9" s="1"/>
  <c r="G19" i="9" s="1"/>
  <c r="G47" i="8"/>
  <c r="C10" i="9"/>
  <c r="C11" i="9" s="1"/>
  <c r="C14" i="9" s="1"/>
  <c r="C17" i="9" s="1"/>
  <c r="C18" i="9" s="1"/>
  <c r="C19" i="9" s="1"/>
  <c r="D14" i="11"/>
  <c r="D17" i="11" s="1"/>
  <c r="D19" i="11" s="1"/>
  <c r="C47" i="8"/>
  <c r="J14" i="11"/>
  <c r="J17" i="11" s="1"/>
  <c r="J19" i="11" s="1"/>
  <c r="I10" i="9"/>
  <c r="I11" i="9" s="1"/>
  <c r="I14" i="9" s="1"/>
  <c r="I17" i="9" s="1"/>
  <c r="I18" i="9" s="1"/>
  <c r="I19" i="9" s="1"/>
  <c r="I47" i="8"/>
  <c r="J10" i="9"/>
  <c r="J11" i="9" s="1"/>
  <c r="J14" i="9" s="1"/>
  <c r="J17" i="9" s="1"/>
  <c r="J18" i="9" s="1"/>
  <c r="J19" i="9" s="1"/>
  <c r="K14" i="11"/>
  <c r="K17" i="11" s="1"/>
  <c r="K19" i="11" s="1"/>
  <c r="J47" i="8"/>
  <c r="F10" i="9"/>
  <c r="F11" i="9" s="1"/>
  <c r="F14" i="9" s="1"/>
  <c r="F17" i="9" s="1"/>
  <c r="F18" i="9" s="1"/>
  <c r="F19" i="9" s="1"/>
  <c r="G14" i="11"/>
  <c r="G17" i="11" s="1"/>
  <c r="G19" i="11" s="1"/>
  <c r="F47" i="8"/>
  <c r="I17" i="5"/>
  <c r="I21" i="5" s="1"/>
  <c r="F26" i="6" s="1"/>
  <c r="B17" i="7"/>
  <c r="H17" i="5"/>
  <c r="H21" i="5" s="1"/>
  <c r="K21" i="5"/>
  <c r="E29" i="5" s="1"/>
  <c r="B26" i="6" s="1"/>
  <c r="C22" i="9" l="1"/>
  <c r="C23" i="9"/>
  <c r="F20" i="11"/>
  <c r="F32" i="11"/>
  <c r="F27" i="11"/>
  <c r="K20" i="11"/>
  <c r="K32" i="11"/>
  <c r="K27" i="11"/>
  <c r="J20" i="11"/>
  <c r="J32" i="11"/>
  <c r="J27" i="11"/>
  <c r="N20" i="11"/>
  <c r="N32" i="11"/>
  <c r="N27" i="11"/>
  <c r="E20" i="11"/>
  <c r="E32" i="11"/>
  <c r="E27" i="11"/>
  <c r="I22" i="9"/>
  <c r="I23" i="9"/>
  <c r="M20" i="11"/>
  <c r="M32" i="11"/>
  <c r="M27" i="11"/>
  <c r="G20" i="11"/>
  <c r="G32" i="11"/>
  <c r="G27" i="11"/>
  <c r="J22" i="9"/>
  <c r="J23" i="9"/>
  <c r="G22" i="9"/>
  <c r="G23" i="9"/>
  <c r="M22" i="9"/>
  <c r="M23" i="9"/>
  <c r="H22" i="9"/>
  <c r="H23" i="9"/>
  <c r="L32" i="11"/>
  <c r="L20" i="11"/>
  <c r="L27" i="11"/>
  <c r="D22" i="9"/>
  <c r="D23" i="9"/>
  <c r="B10" i="9"/>
  <c r="B47" i="8"/>
  <c r="C14" i="11"/>
  <c r="C17" i="11" s="1"/>
  <c r="C19" i="11" s="1"/>
  <c r="F22" i="9"/>
  <c r="F23" i="9"/>
  <c r="D32" i="11"/>
  <c r="D20" i="11"/>
  <c r="D27" i="11"/>
  <c r="H20" i="11"/>
  <c r="H32" i="11"/>
  <c r="H27" i="11"/>
  <c r="L22" i="9"/>
  <c r="L23" i="9"/>
  <c r="I20" i="11"/>
  <c r="I32" i="11"/>
  <c r="I27" i="11"/>
  <c r="E22" i="9"/>
  <c r="E23" i="9"/>
  <c r="K22" i="9"/>
  <c r="K23" i="9"/>
  <c r="B21" i="7"/>
  <c r="B17" i="8"/>
  <c r="B21" i="8" s="1"/>
  <c r="E12" i="6"/>
  <c r="B27" i="6"/>
  <c r="B28" i="6" s="1"/>
  <c r="B19" i="6"/>
  <c r="B20" i="6" s="1"/>
  <c r="B21" i="6" s="1"/>
  <c r="E25" i="5"/>
  <c r="E27" i="5" s="1"/>
  <c r="E11" i="6"/>
  <c r="D26" i="6"/>
  <c r="H26" i="6" s="1"/>
  <c r="F18" i="6"/>
  <c r="E13" i="6"/>
  <c r="B11" i="9" l="1"/>
  <c r="N10" i="9"/>
  <c r="L37" i="11"/>
  <c r="L29" i="11"/>
  <c r="J37" i="11"/>
  <c r="J29" i="11"/>
  <c r="D37" i="11"/>
  <c r="D29" i="11"/>
  <c r="M37" i="11"/>
  <c r="M29" i="11"/>
  <c r="N37" i="11"/>
  <c r="N29" i="11"/>
  <c r="K37" i="11"/>
  <c r="K29" i="11"/>
  <c r="I29" i="11"/>
  <c r="I37" i="11"/>
  <c r="H37" i="11"/>
  <c r="H29" i="11"/>
  <c r="C20" i="11"/>
  <c r="B20" i="11" s="1"/>
  <c r="C27" i="11"/>
  <c r="C32" i="11"/>
  <c r="G29" i="11"/>
  <c r="G37" i="11"/>
  <c r="E37" i="11"/>
  <c r="E29" i="11"/>
  <c r="F37" i="11"/>
  <c r="F29" i="11"/>
  <c r="F27" i="6"/>
  <c r="D18" i="6"/>
  <c r="H18" i="6" s="1"/>
  <c r="F19" i="6"/>
  <c r="B29" i="6"/>
  <c r="B30" i="6" s="1"/>
  <c r="F30" i="6" s="1"/>
  <c r="F28" i="6"/>
  <c r="F21" i="6"/>
  <c r="B22" i="6"/>
  <c r="D22" i="6" s="1"/>
  <c r="H22" i="6" s="1"/>
  <c r="F20" i="6"/>
  <c r="E26" i="6"/>
  <c r="G26" i="6" s="1"/>
  <c r="D27" i="6"/>
  <c r="E27" i="6" s="1"/>
  <c r="D19" i="6"/>
  <c r="E19" i="6" s="1"/>
  <c r="G19" i="6" s="1"/>
  <c r="D28" i="6"/>
  <c r="E28" i="6" s="1"/>
  <c r="D21" i="6"/>
  <c r="H21" i="6" s="1"/>
  <c r="D20" i="6"/>
  <c r="E20" i="6" s="1"/>
  <c r="E18" i="6"/>
  <c r="G18" i="6" s="1"/>
  <c r="L21" i="5"/>
  <c r="E31" i="5" s="1"/>
  <c r="B14" i="9" l="1"/>
  <c r="N11" i="9"/>
  <c r="C37" i="11"/>
  <c r="C29" i="11"/>
  <c r="B29" i="11" s="1"/>
  <c r="C35" i="11"/>
  <c r="C34" i="11"/>
  <c r="G27" i="6"/>
  <c r="F29" i="6"/>
  <c r="G20" i="6"/>
  <c r="D30" i="6"/>
  <c r="E30" i="6" s="1"/>
  <c r="G30" i="6" s="1"/>
  <c r="D29" i="6"/>
  <c r="E29" i="6" s="1"/>
  <c r="G28" i="6"/>
  <c r="B23" i="6"/>
  <c r="F22" i="6"/>
  <c r="H27" i="6"/>
  <c r="E21" i="6"/>
  <c r="G21" i="6" s="1"/>
  <c r="H19" i="6"/>
  <c r="H28" i="6"/>
  <c r="H20" i="6"/>
  <c r="E22" i="6"/>
  <c r="E14" i="6"/>
  <c r="B17" i="9" l="1"/>
  <c r="N14" i="9"/>
  <c r="C42" i="11"/>
  <c r="C44" i="11"/>
  <c r="C43" i="11"/>
  <c r="C40" i="11"/>
  <c r="C39" i="11"/>
  <c r="G29" i="6"/>
  <c r="G22" i="6"/>
  <c r="H29" i="6"/>
  <c r="H30" i="6"/>
  <c r="B24" i="6"/>
  <c r="F23" i="6"/>
  <c r="D23" i="6"/>
  <c r="B18" i="9" l="1"/>
  <c r="N17" i="9"/>
  <c r="H23" i="6"/>
  <c r="E23" i="6"/>
  <c r="G23" i="6" s="1"/>
  <c r="B25" i="6"/>
  <c r="F24" i="6"/>
  <c r="D24" i="6"/>
  <c r="B19" i="9" l="1"/>
  <c r="N18" i="9"/>
  <c r="F25" i="6"/>
  <c r="D25" i="6"/>
  <c r="E24" i="6"/>
  <c r="G24" i="6" s="1"/>
  <c r="H24" i="6"/>
  <c r="N19" i="9" l="1"/>
  <c r="B22" i="9"/>
  <c r="B23" i="9"/>
  <c r="H25" i="6"/>
  <c r="E25" i="6"/>
  <c r="G25" i="6" s="1"/>
</calcChain>
</file>

<file path=xl/comments1.xml><?xml version="1.0" encoding="utf-8"?>
<comments xmlns="http://schemas.openxmlformats.org/spreadsheetml/2006/main">
  <authors>
    <author>JOSE LUIS MORALES</author>
  </authors>
  <commentList>
    <comment ref="K10" authorId="0" shapeId="0">
      <text>
        <r>
          <rPr>
            <sz val="9"/>
            <color indexed="81"/>
            <rFont val="Tahoma"/>
            <family val="2"/>
          </rPr>
          <t>P.E.Q = CF/PVu-CVu</t>
        </r>
      </text>
    </comment>
    <comment ref="L10" authorId="0" shapeId="0">
      <text>
        <r>
          <rPr>
            <sz val="9"/>
            <color indexed="81"/>
            <rFont val="Tahoma"/>
            <family val="2"/>
          </rPr>
          <t>P.E.UM = CFT/1-(Cvu/Pvu)</t>
        </r>
      </text>
    </comment>
  </commentList>
</comments>
</file>

<file path=xl/comments2.xml><?xml version="1.0" encoding="utf-8"?>
<comments xmlns="http://schemas.openxmlformats.org/spreadsheetml/2006/main">
  <authors>
    <author>JOSE LUIS MORALES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</rPr>
          <t>CF producción % Portafolio X Porcentaje de Participación portafolio de productos</t>
        </r>
      </text>
    </comment>
  </commentList>
</comments>
</file>

<file path=xl/comments3.xml><?xml version="1.0" encoding="utf-8"?>
<comments xmlns="http://schemas.openxmlformats.org/spreadsheetml/2006/main">
  <authors>
    <author>JOSE LUIS MORALES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</rPr>
          <t>Rentabilidad Ventas= (Utilidad Neta/Ventas Netas) x 100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Rentabilidad Ventas= (Utilidad Neta/Ventas Netas) x 100</t>
        </r>
      </text>
    </comment>
  </commentList>
</comments>
</file>

<file path=xl/sharedStrings.xml><?xml version="1.0" encoding="utf-8"?>
<sst xmlns="http://schemas.openxmlformats.org/spreadsheetml/2006/main" count="761" uniqueCount="332">
  <si>
    <t>Unidades</t>
  </si>
  <si>
    <t>Items</t>
  </si>
  <si>
    <t>Precio Unitario</t>
  </si>
  <si>
    <t>Precio Total</t>
  </si>
  <si>
    <t>ESTRUCTURA DE LA INVERSIÓN</t>
  </si>
  <si>
    <t>ACTIVO FIJO TANGIBLE</t>
  </si>
  <si>
    <t>Computadoras</t>
  </si>
  <si>
    <t>Estantes (Corporativo)</t>
  </si>
  <si>
    <t>Escritorios Ejecutivos (Corporativo)</t>
  </si>
  <si>
    <t>Sillas Office (Corporativo)</t>
  </si>
  <si>
    <t>Sofá (Sala de Espera)</t>
  </si>
  <si>
    <t>Sillones Ejecutivos Giratorio</t>
  </si>
  <si>
    <t>Mesa de Sesión o Juntas</t>
  </si>
  <si>
    <t>Mesa de Arquitectura</t>
  </si>
  <si>
    <t xml:space="preserve">Impresoras </t>
  </si>
  <si>
    <t>Enseres de Oficina</t>
  </si>
  <si>
    <t xml:space="preserve">Extintores </t>
  </si>
  <si>
    <t xml:space="preserve">Camara Fotografica </t>
  </si>
  <si>
    <t>Camara Filmadora</t>
  </si>
  <si>
    <t>Plotter</t>
  </si>
  <si>
    <t>TOTAL ACTIVO FIJO TANGIBLE</t>
  </si>
  <si>
    <t>ACTIVO FIJO INTANGIBLE</t>
  </si>
  <si>
    <t>Minuta de Constitución</t>
  </si>
  <si>
    <t>Cantidad</t>
  </si>
  <si>
    <t>Servicios Notariales</t>
  </si>
  <si>
    <t>Incripción Registros Públicos</t>
  </si>
  <si>
    <t>Inscripción SUNAT (Gratuito)</t>
  </si>
  <si>
    <t>Liciencia de Funcionamiento</t>
  </si>
  <si>
    <t>Autorización de Letrero</t>
  </si>
  <si>
    <t>Página Web (Dominio y Diseño)</t>
  </si>
  <si>
    <t>TOTAL ACTIVO FIJO INTANGIBLE</t>
  </si>
  <si>
    <t>TOTAL ACTIVO FIJO TANGIBLE + INTANGIBLE</t>
  </si>
  <si>
    <t>TOTAL</t>
  </si>
  <si>
    <t>Mensual</t>
  </si>
  <si>
    <t>Anual</t>
  </si>
  <si>
    <t>Alquiler de Oficinas</t>
  </si>
  <si>
    <t>Servicios Básicos de Agua y Luz</t>
  </si>
  <si>
    <t>Telefonía Fija</t>
  </si>
  <si>
    <t>Servicio de Internet</t>
  </si>
  <si>
    <t>Telefonía Celular RPM</t>
  </si>
  <si>
    <t>Caja Chica</t>
  </si>
  <si>
    <t>Licenciado en Administración</t>
  </si>
  <si>
    <t>Economista</t>
  </si>
  <si>
    <t>Abogado</t>
  </si>
  <si>
    <t>Gerente de Consultora</t>
  </si>
  <si>
    <t>Analista de Gestión Pública</t>
  </si>
  <si>
    <t>Secretaria General</t>
  </si>
  <si>
    <t xml:space="preserve">INVERSIÓN INICIAL </t>
  </si>
  <si>
    <t>CAPITAL (W)</t>
  </si>
  <si>
    <t>ACTIVOS FIJO</t>
  </si>
  <si>
    <t>TOTAL INVERSIÓN</t>
  </si>
  <si>
    <t>FINANCIAMIENTO DE LA INVERSIÓN INICIAL</t>
  </si>
  <si>
    <t>APORTE SOCIOS</t>
  </si>
  <si>
    <t xml:space="preserve">CREDITO </t>
  </si>
  <si>
    <t>INVERSIÓN INICIAL</t>
  </si>
  <si>
    <t>INVERSIÓN INICIAL TOTAL</t>
  </si>
  <si>
    <t>FUENTES DE FINANCIAMIENTO</t>
  </si>
  <si>
    <t>MANO DE OBRA DIRECTA</t>
  </si>
  <si>
    <t>TRABAJADORES</t>
  </si>
  <si>
    <t>LICENCIADO EN ADMINISTRACIÓN</t>
  </si>
  <si>
    <t>ECONOMISTA</t>
  </si>
  <si>
    <t>ABOGADO</t>
  </si>
  <si>
    <t>MANO DE OBRA INDIRECTA</t>
  </si>
  <si>
    <t>GERENTE</t>
  </si>
  <si>
    <t>ANALISTA DE GESTIÓN PÚBLICA</t>
  </si>
  <si>
    <t>SECRETARIA GENERAL</t>
  </si>
  <si>
    <t>CANTIDAD</t>
  </si>
  <si>
    <t>REMUNERACIÓN BRUTA</t>
  </si>
  <si>
    <t>AFP (12.8%)</t>
  </si>
  <si>
    <t>REMUNERACIÓN NETA</t>
  </si>
  <si>
    <t>ESSALUD (9%)</t>
  </si>
  <si>
    <t xml:space="preserve">PLAN DE RECURSOS HUMANOS </t>
  </si>
  <si>
    <t>PLANILLA DE TRABAJADORES - MES</t>
  </si>
  <si>
    <t>TOTAL PLANILLA -MOD</t>
  </si>
  <si>
    <t>GASTOS DE PERSONAL</t>
  </si>
  <si>
    <t>TOTAL PLANILLA - MOI</t>
  </si>
  <si>
    <t>Descuentos</t>
  </si>
  <si>
    <t>Aportes</t>
  </si>
  <si>
    <t>TOTAL PLANILLAS DE TRABAJADORES</t>
  </si>
  <si>
    <t>Monto</t>
  </si>
  <si>
    <t>TEA</t>
  </si>
  <si>
    <t>TEM</t>
  </si>
  <si>
    <t>Cuota</t>
  </si>
  <si>
    <t>Plazo (Meses)</t>
  </si>
  <si>
    <t>MES</t>
  </si>
  <si>
    <t>SALDO</t>
  </si>
  <si>
    <t>AMORTIZACIÓN</t>
  </si>
  <si>
    <t>CUOTA</t>
  </si>
  <si>
    <t>AMORTIZACIÓN ANUAL</t>
  </si>
  <si>
    <t>INTERES ANUAL</t>
  </si>
  <si>
    <t>PRESTAMO DE ENTIDAD FINANCIERA</t>
  </si>
  <si>
    <t>FINANCIAMIENTO DE INVERSIÓN INICIAL</t>
  </si>
  <si>
    <t>Seg. Desg.</t>
  </si>
  <si>
    <t>TEM Seg. Desg.</t>
  </si>
  <si>
    <t>TEM Total</t>
  </si>
  <si>
    <t>INTERESES + Seg. Desg.</t>
  </si>
  <si>
    <t>TOTALES</t>
  </si>
  <si>
    <t>Remuneración Base</t>
  </si>
  <si>
    <t>COSTO VARIABLE UNITARIO</t>
  </si>
  <si>
    <t>Item</t>
  </si>
  <si>
    <t>Costo</t>
  </si>
  <si>
    <t>Costo Total</t>
  </si>
  <si>
    <t>Gestión de las Contrataciones Públicas</t>
  </si>
  <si>
    <t>X Producto (Servicio Mensual)</t>
  </si>
  <si>
    <t>Viáticos</t>
  </si>
  <si>
    <t>Informes "Papel Bond"</t>
  </si>
  <si>
    <t>Impresiones</t>
  </si>
  <si>
    <t>Tinta Impresora</t>
  </si>
  <si>
    <t>Hojas Papel</t>
  </si>
  <si>
    <t>U. Medida</t>
  </si>
  <si>
    <t>Viáticos para el Asesor</t>
  </si>
  <si>
    <t>Costo Variable Unitario del Producto</t>
  </si>
  <si>
    <t>Precio de Venta Unitario</t>
  </si>
  <si>
    <t>Viáticos Consultor 1: Ingeniero Civil</t>
  </si>
  <si>
    <t>Viáticos Consultor 2 : Abogado</t>
  </si>
  <si>
    <t>Informe Técnico - Legal</t>
  </si>
  <si>
    <t>Hojas A4</t>
  </si>
  <si>
    <t>Hojas A2</t>
  </si>
  <si>
    <t>Planos</t>
  </si>
  <si>
    <t>Servicio</t>
  </si>
  <si>
    <t>Levantamiento Topográfico</t>
  </si>
  <si>
    <t>Margen de Contribución del Producto</t>
  </si>
  <si>
    <t>Movilidad Local (Sunarp, Ent. Públicas)</t>
  </si>
  <si>
    <t>Servicio Taxi</t>
  </si>
  <si>
    <t>Producto 3</t>
  </si>
  <si>
    <t>Gestión del Saneamiento Físico Legal de Predios y Delimitación Territorial</t>
  </si>
  <si>
    <t>Gestión de Alta Dirección Municipal Integral</t>
  </si>
  <si>
    <t>Producto 2</t>
  </si>
  <si>
    <t>Producto 1</t>
  </si>
  <si>
    <t>Producto 4</t>
  </si>
  <si>
    <t>Gestión de las Obras Públicas : Elaboración de Expediente Técnicos y Fichas Técnicas de Mantenimiento (I.P. S/. 100,000.oo a 300,000.oo)</t>
  </si>
  <si>
    <t>Impresión de Planos (3 Ejemplares)</t>
  </si>
  <si>
    <t>Impresión Expediente Técnico (3 Ejemplares)</t>
  </si>
  <si>
    <t>Laboratorio Estudio de Suelos</t>
  </si>
  <si>
    <t>Obtención del CIRA (Ante INC)</t>
  </si>
  <si>
    <t>Expediente Técnico - Medio Digital</t>
  </si>
  <si>
    <t>Archivador Corp.</t>
  </si>
  <si>
    <t>Movilidad Local a Entidades Públicas</t>
  </si>
  <si>
    <t>Now How Profesional 1 (5%)</t>
  </si>
  <si>
    <t>Encarpetado de 3 Expedientes Técnicos</t>
  </si>
  <si>
    <t>cd'</t>
  </si>
  <si>
    <t>Producto 5</t>
  </si>
  <si>
    <t>Gestión de las Obras Públicas : Elaboración de Expediente Técnicos y Fichas Técnicas de Mantenimiento (I.P. S/. 500,001.oo a 1'000,000.oo)</t>
  </si>
  <si>
    <t>Día</t>
  </si>
  <si>
    <t>Alquiler de Camioneta 4x4 -Trabajo de Campo</t>
  </si>
  <si>
    <t>Now How Profesional 1 (6%)</t>
  </si>
  <si>
    <t>Producto 6</t>
  </si>
  <si>
    <t>Gestión de las Obras Públicas : Elaboración de Expediente Técnicos (I.P. S/. 1'000,001.oo a 2'000,000.oo)</t>
  </si>
  <si>
    <t>Otros Estudios de Ingeniería</t>
  </si>
  <si>
    <t>Certificado de Impacto Ambiental</t>
  </si>
  <si>
    <t>Gestión de las Obras Públicas : Elaboración de Expediente Técnicos (I.P. S/. 2'000,001.oo a 3'000,000.oo)</t>
  </si>
  <si>
    <t>Producto 7</t>
  </si>
  <si>
    <t>Honorario del Profesional 2 (Arquitecto, Ing. Sanitario, Ing. Electricista (10 %)</t>
  </si>
  <si>
    <t>Producto 8</t>
  </si>
  <si>
    <t>Producto 9</t>
  </si>
  <si>
    <t>Gestión de las Obras Públicas : Elaboración de Expediente Técnicos (I.P. S/. 3'000,001.oo a 5'000,000.oo)</t>
  </si>
  <si>
    <t>Viáticos Profesional 2 : Ing. Sanitario, Ing. Electricista, Arquitecto)</t>
  </si>
  <si>
    <t>Producto 10</t>
  </si>
  <si>
    <t>Gestión de las Obras Públicas : Elaboración de Expediente Técnicos (I.P. S/. 5'000,001.oo a 7'000,000.oo)</t>
  </si>
  <si>
    <t>Honorario Externo</t>
  </si>
  <si>
    <t>Producto 11</t>
  </si>
  <si>
    <t>Formulación y Gestión de Proyectos de Inversión Pública (I.P. S/. 5'001,000.oo a 8'000,000.oo)</t>
  </si>
  <si>
    <t>Viáticos Consultor 1: Economista/Administrador</t>
  </si>
  <si>
    <t>Impresión Proyecto de Inversión (3 Ejemplares)</t>
  </si>
  <si>
    <t>Now How Consultor 2 (6%)</t>
  </si>
  <si>
    <t>Now How Consultor 1 (6%)</t>
  </si>
  <si>
    <t>Servicio de Asesoría Contable Externa</t>
  </si>
  <si>
    <t>PRODUCCIÓN</t>
  </si>
  <si>
    <t>Gestión de las Contrataciones del Estado</t>
  </si>
  <si>
    <t>Gestión del Sanemiento Físico Legal de Predios y Delimitación Territorial</t>
  </si>
  <si>
    <t>Gestión OO.PP.: Elaboración de Expedientes Técnicos/Fichas Técnicas (100,000.00 a 300,000.00)</t>
  </si>
  <si>
    <t>Gestión OO.PP.: Elaboración de Expedientes Técnicos/Fichas Técnicas (2'000,000.00 a 3'000,000.00)</t>
  </si>
  <si>
    <t>Gestión de las Obras Públicas : Elaboración de Expediente Técnicos y Fichas Técnicas de Mantenimiento (I.P. S/. 301,000.oo a 500,000.oo)</t>
  </si>
  <si>
    <t>Gestión OO.PP.: Elaboración de Expedientes Técnicos/Fichas Técnicas (300,001.00 a 500,000.00)</t>
  </si>
  <si>
    <t>Gestión OO.PP.: Elaboración de Expedientes Técnicos/Fichas Técnicas (501,000.00 a 1'000,000.00)</t>
  </si>
  <si>
    <t>Gestión OO.PP.: Elaboración de Expedientes Técnicos/Fichas Técnicas (1'000,001.00 a 2'000,000.00)</t>
  </si>
  <si>
    <t>Gestión OO.PP.: Elaboración de Expedientes Técnicos/Fichas Técnicas (3'001,000.00 a 5'000,000.00)</t>
  </si>
  <si>
    <t>Gestión OO.PP.: Elaboración de Expedientes Técnicos/Fichas Técnicas (5'001,000.00 a 7'000,000.00)</t>
  </si>
  <si>
    <t>Formulación y Gestión de Proyectos de Inversión Pública (5'001,000.00 a 8'000,000.00)</t>
  </si>
  <si>
    <t>COSTOS FIJOS</t>
  </si>
  <si>
    <t>Separación de Nombre</t>
  </si>
  <si>
    <t>Servicio de Limpieza y Mantenimiento Oficinas Externo</t>
  </si>
  <si>
    <t>( . ) EQUILIBRIO (Q)</t>
  </si>
  <si>
    <t>(.) EQULIBRIO (S/.)</t>
  </si>
  <si>
    <t>Soles/Mes</t>
  </si>
  <si>
    <t>% Participación en Portafolio de Productos</t>
  </si>
  <si>
    <t>COSTO VARIABLE UNITARIO x Producto</t>
  </si>
  <si>
    <t>PRECIO DE VENTA UNITARIO x Producto</t>
  </si>
  <si>
    <t>PUNTO DE EQUILIBRIO (PE) UM</t>
  </si>
  <si>
    <t>PUNTO DE EQUILIBRIO (PE) Q</t>
  </si>
  <si>
    <t>GRAFICA DEL PUNTO DE EQUILIBRIO EN LA PRODUCCIÓN DE SERVICIOS DE CONSULTORIA</t>
  </si>
  <si>
    <t>PUNTO DE EQUILIBRIO EN LA PRODUCCIÓN DE SERVICIOS DE CONSULTORIA</t>
  </si>
  <si>
    <t>Servicios/Mes</t>
  </si>
  <si>
    <t>Costos Fijos (CF)</t>
  </si>
  <si>
    <t>Costos Totales (CT)</t>
  </si>
  <si>
    <t>Ingresos Totales (IT)</t>
  </si>
  <si>
    <t>Beneficios Económicos Netos (BNE)</t>
  </si>
  <si>
    <t>Costos Medios (CMe)</t>
  </si>
  <si>
    <t>TIPO DE SERVICIO (PRODUCTO)</t>
  </si>
  <si>
    <t>COSTO VARIABLE x Unidades Mín. de Servicio a Prestar (S/)</t>
  </si>
  <si>
    <t>P.E. Unidades Mínimas de Servicios a Prestar(Q)</t>
  </si>
  <si>
    <t>RESULTADOS TOTALES</t>
  </si>
  <si>
    <t>P.E. Unidades Monetarias Mínimas a Percibir (S/.)</t>
  </si>
  <si>
    <t>CF + CV =</t>
  </si>
  <si>
    <t>COSTO VARIABLE (t)</t>
  </si>
  <si>
    <t>INGRESOS x Unidades Mín. de Servicio a Prestar (S/)</t>
  </si>
  <si>
    <t>COSTOS VARIABLES x Unds. Mím. Producir</t>
  </si>
  <si>
    <t>INGRESOS TOTALES x Unds. Mím. Producir</t>
  </si>
  <si>
    <t>Unidades Totales de Servicios (p)</t>
  </si>
  <si>
    <t>Costos Variables Totales (CV)</t>
  </si>
  <si>
    <t>INFORMACION DE LA PRODUCCIÓN DE SERVICIOS EN EQUILIBRIO</t>
  </si>
  <si>
    <t>Fuente : Elaboración Propia -2016</t>
  </si>
  <si>
    <t>Telemarketing</t>
  </si>
  <si>
    <t>Brochure Empresarial (Físico y Digital)</t>
  </si>
  <si>
    <t>Fuente : Datos Tasas Activas Caja Arequipa - 2016 (Majes - Pedregal)</t>
  </si>
  <si>
    <t>SERVICIOS DE CONSULTORÍA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</si>
  <si>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</si>
  <si>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</si>
  <si>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</si>
  <si>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</si>
  <si>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</si>
  <si>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</si>
  <si>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</si>
  <si>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</si>
  <si>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</si>
  <si>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</si>
  <si>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</si>
  <si>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</si>
  <si>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INGENIERO CIVIL 1</t>
  </si>
  <si>
    <t xml:space="preserve">Ingeniero Civil I </t>
  </si>
  <si>
    <t>Ingeniero Civil  II - Externo</t>
  </si>
  <si>
    <t xml:space="preserve">Gasto Financiero (Pago de Crédito) </t>
  </si>
  <si>
    <t>Honorario del Profesional 2  -  (Arquitecto, Ing. Sanitario, Ing. Electricista (14 %)</t>
  </si>
  <si>
    <t>Bono Producción</t>
  </si>
  <si>
    <t>Now How Profesional (4%)</t>
  </si>
  <si>
    <t>Now How Profesional 1 (4%)</t>
  </si>
  <si>
    <t>Now How Profesional 2 (4%)</t>
  </si>
  <si>
    <t>PROYECCIÓN DE LAS VENTAS</t>
  </si>
  <si>
    <t>VENTAS EN UNIDADES DE SERVICIO</t>
  </si>
  <si>
    <t>VENTAS EN SOLES</t>
  </si>
  <si>
    <t>P. EQ.</t>
  </si>
  <si>
    <t>P. U.</t>
  </si>
  <si>
    <t xml:space="preserve">COSTOS Y GASTOS FIJOS </t>
  </si>
  <si>
    <t xml:space="preserve">TOTAL COSTOS FIJOS </t>
  </si>
  <si>
    <t>Costos Fijos de Producción</t>
  </si>
  <si>
    <t>Costos Fijos de Producción : Mano de Obra Directa</t>
  </si>
  <si>
    <t>Gastos Fijos de Administración : Mano de Obra Indirecta</t>
  </si>
  <si>
    <t>TOTAL COSTOS FIJOS DE PRODUCCIÓN</t>
  </si>
  <si>
    <t>Gastos Fijos de Administración : Fondo para Caja Chica</t>
  </si>
  <si>
    <t>Gastos Fijos de Ventas : Marketing y Ventas</t>
  </si>
  <si>
    <t>TOTAL GASTOS ADMINISTRATIVOS</t>
  </si>
  <si>
    <t>TOTAL GASTOS DE VENTAS</t>
  </si>
  <si>
    <t>Cuota de Credito (K + i)</t>
  </si>
  <si>
    <t>TOTAL GASTOS FINANCIEROS</t>
  </si>
  <si>
    <t>COSTOS DE PRODUCCIÓN</t>
  </si>
  <si>
    <t>TOTAL VENTAS MENSUALES (Q)</t>
  </si>
  <si>
    <t>TOTAL VENTAS MENSUALES (S/.)</t>
  </si>
  <si>
    <t>PRODUCCIÓN DE UNIDADES DE SERVICIO</t>
  </si>
  <si>
    <t>TOTAL COSTO FIJOS DE PRODUCCIÓN</t>
  </si>
  <si>
    <t>Pto. EQ.</t>
  </si>
  <si>
    <t>Costo Fijo de PRODUCCIÓN x % participación</t>
  </si>
  <si>
    <t>TOTAL COSTOS DE PRODUCCIÓN MENSUALES (S/.)</t>
  </si>
  <si>
    <t>Costo Variable Unitario de Producción x Producto</t>
  </si>
  <si>
    <t>Costo Total de Producción x Producto</t>
  </si>
  <si>
    <t>PRESUPUESTO DE GASTOS</t>
  </si>
  <si>
    <t>CONCEPTO</t>
  </si>
  <si>
    <t>Costos de Producción</t>
  </si>
  <si>
    <t>Gastos de Ventas</t>
  </si>
  <si>
    <t>Gastos Administrativos</t>
  </si>
  <si>
    <t>Gastos Financieros</t>
  </si>
  <si>
    <t xml:space="preserve">Total </t>
  </si>
  <si>
    <t>ESTADO DE GANANCIAS Y PERDIDAS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</si>
  <si>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</si>
  <si>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</si>
  <si>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</si>
  <si>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</si>
  <si>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</si>
  <si>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</si>
  <si>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</si>
  <si>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</si>
  <si>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</si>
  <si>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</si>
  <si>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</si>
  <si>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</si>
  <si>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UTILIDAD BRUTA</t>
  </si>
  <si>
    <t>UTILIDAD NETA</t>
  </si>
  <si>
    <t>UTILIDAD DE OPERACIÓN</t>
  </si>
  <si>
    <t>UTILIDAD ANTES DE IMPUESTO</t>
  </si>
  <si>
    <t xml:space="preserve">Impuesto a la Renta </t>
  </si>
  <si>
    <t>Muebles/Maquinarias/Equipos</t>
  </si>
  <si>
    <t>Valor Unitario</t>
  </si>
  <si>
    <t>Total</t>
  </si>
  <si>
    <t>Tasa de Depreciación</t>
  </si>
  <si>
    <t>Vida Util (Meses)</t>
  </si>
  <si>
    <t>Valor a Depreciar (Mes)</t>
  </si>
  <si>
    <t>CUADRO DE DEPRECIACIÓN</t>
  </si>
  <si>
    <t>TOTAL DEPRECIACIÓN MENSUAL</t>
  </si>
  <si>
    <t>Depreciación de Activos</t>
  </si>
  <si>
    <t>Ventas Netas</t>
  </si>
  <si>
    <t>Ratio de la Ventas</t>
  </si>
  <si>
    <t>Rentabilidad de las Ventas (%)</t>
  </si>
  <si>
    <t>Concepto del Flujo</t>
  </si>
  <si>
    <t>INGRESOS</t>
  </si>
  <si>
    <t>Ingresos por Ventas</t>
  </si>
  <si>
    <t>TOTAL INGRESOS</t>
  </si>
  <si>
    <t>EGRESOS</t>
  </si>
  <si>
    <t>Gastos de Administración</t>
  </si>
  <si>
    <t>TOTAL EGRESOS</t>
  </si>
  <si>
    <t>FLUJO DE CAJA ECONOMICO (FCE)</t>
  </si>
  <si>
    <t>Intereses (i)</t>
  </si>
  <si>
    <t>Amortización (k)</t>
  </si>
  <si>
    <t>TOTAL DEUDA FINANCIERA</t>
  </si>
  <si>
    <t>FLUJO DE CAJA FINANCIERO (FCF)</t>
  </si>
  <si>
    <t>Inversión Inicial -</t>
  </si>
  <si>
    <t>Crédito Financiero-</t>
  </si>
  <si>
    <t>Tasa de Descuento</t>
  </si>
  <si>
    <t>-</t>
  </si>
  <si>
    <t>VAN ( E )</t>
  </si>
  <si>
    <t>TIR ( E )</t>
  </si>
  <si>
    <t>VAN ( F )</t>
  </si>
  <si>
    <t>TIR ( F )</t>
  </si>
  <si>
    <t>FLUJO DE CAJA ECONOMICO - FINANCIERO</t>
  </si>
  <si>
    <t>B/C</t>
  </si>
  <si>
    <t>Valor Actualizado (VA)</t>
  </si>
  <si>
    <t>C/B</t>
  </si>
  <si>
    <t>Fuente :</t>
  </si>
  <si>
    <t>Fuente : Elaboración Propia - 2016</t>
  </si>
  <si>
    <t>Fuente : Elaboración Propia-2016</t>
  </si>
  <si>
    <t>Elaboración Propia-2016</t>
  </si>
  <si>
    <t>Valor Actualizado (VA) FCE</t>
  </si>
  <si>
    <t>PRI</t>
  </si>
  <si>
    <t>COSTO FIJO x Participación en Portafolio de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</si>
</sst>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[$S/.-280A]\ * #,##0.00_ ;_ [$S/.-280A]\ * \-#,##0.00_ ;_ [$S/.-280A]\ * &quot;-&quot;??_ ;_ @_ "/>
    <numFmt numFmtId="165" formatCode="0.000%"/>
    <numFmt numFmtId="166" formatCode="0.00000%"/>
    <numFmt numFmtId="167" formatCode="_ * #,##0.0000000_ ;_ * \-#,##0.0000000_ ;_ * &quot;-&quot;??_ ;_ 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66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000066"/>
      <name val="Calibri"/>
      <family val="2"/>
      <scheme val="minor"/>
    </font>
    <font>
      <b/>
      <sz val="12"/>
      <color rgb="FF000066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4"/>
      <color rgb="FF000066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6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009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sz val="12"/>
      <color theme="0"/>
      <name val="Calibri"/>
      <family val="2"/>
      <scheme val="minor"/>
    </font>
    <font>
      <sz val="12"/>
      <color rgb="FF000099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6"/>
      <color rgb="FF0000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FF"/>
        <bgColor indexed="64"/>
      </patternFill>
    </fill>
  </fills>
  <borders count="74">
    <border>
      <left/>
      <right/>
      <top/>
      <bottom/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rgb="FF000066"/>
      </left>
      <right style="thin">
        <color rgb="FF000066"/>
      </right>
      <top style="thin">
        <color rgb="FF000066"/>
      </top>
      <bottom style="thin">
        <color rgb="FF000066"/>
      </bottom>
      <diagonal/>
    </border>
    <border>
      <left/>
      <right/>
      <top/>
      <bottom style="thin">
        <color rgb="FF000066"/>
      </bottom>
      <diagonal/>
    </border>
    <border>
      <left/>
      <right/>
      <top style="thin">
        <color rgb="FF000066"/>
      </top>
      <bottom/>
      <diagonal/>
    </border>
    <border>
      <left style="thin">
        <color rgb="FF000066"/>
      </left>
      <right/>
      <top style="thin">
        <color rgb="FF000066"/>
      </top>
      <bottom style="thin">
        <color rgb="FF000066"/>
      </bottom>
      <diagonal/>
    </border>
    <border>
      <left/>
      <right/>
      <top style="thin">
        <color rgb="FF000066"/>
      </top>
      <bottom style="thin">
        <color rgb="FF000066"/>
      </bottom>
      <diagonal/>
    </border>
    <border>
      <left/>
      <right style="thin">
        <color rgb="FF000066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/>
      <top style="medium">
        <color rgb="FF000066"/>
      </top>
      <bottom style="medium">
        <color rgb="FF000066"/>
      </bottom>
      <diagonal/>
    </border>
    <border>
      <left/>
      <right style="medium">
        <color rgb="FF000066"/>
      </right>
      <top style="medium">
        <color rgb="FF000066"/>
      </top>
      <bottom style="medium">
        <color rgb="FF000066"/>
      </bottom>
      <diagonal/>
    </border>
    <border>
      <left style="thin">
        <color rgb="FF000066"/>
      </left>
      <right/>
      <top style="thin">
        <color rgb="FF000066"/>
      </top>
      <bottom/>
      <diagonal/>
    </border>
    <border>
      <left/>
      <right style="thin">
        <color rgb="FF000066"/>
      </right>
      <top style="thin">
        <color rgb="FF000066"/>
      </top>
      <bottom/>
      <diagonal/>
    </border>
    <border>
      <left style="medium">
        <color rgb="FF000066"/>
      </left>
      <right style="thin">
        <color rgb="FF000066"/>
      </right>
      <top style="medium">
        <color rgb="FF000066"/>
      </top>
      <bottom style="thin">
        <color rgb="FF000066"/>
      </bottom>
      <diagonal/>
    </border>
    <border>
      <left style="thin">
        <color rgb="FF000066"/>
      </left>
      <right style="medium">
        <color rgb="FF000066"/>
      </right>
      <top style="medium">
        <color rgb="FF000066"/>
      </top>
      <bottom style="thin">
        <color rgb="FF000066"/>
      </bottom>
      <diagonal/>
    </border>
    <border>
      <left style="medium">
        <color rgb="FF000066"/>
      </left>
      <right style="thin">
        <color rgb="FF000066"/>
      </right>
      <top style="thin">
        <color rgb="FF000066"/>
      </top>
      <bottom style="thin">
        <color rgb="FF000066"/>
      </bottom>
      <diagonal/>
    </border>
    <border>
      <left style="thin">
        <color rgb="FF000066"/>
      </left>
      <right style="medium">
        <color rgb="FF000066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 style="thin">
        <color rgb="FF000066"/>
      </right>
      <top style="thin">
        <color rgb="FF000066"/>
      </top>
      <bottom style="medium">
        <color rgb="FF000066"/>
      </bottom>
      <diagonal/>
    </border>
    <border>
      <left style="thin">
        <color rgb="FF000066"/>
      </left>
      <right style="medium">
        <color rgb="FF000066"/>
      </right>
      <top style="thin">
        <color rgb="FF000066"/>
      </top>
      <bottom style="medium">
        <color rgb="FF000066"/>
      </bottom>
      <diagonal/>
    </border>
    <border>
      <left style="thin">
        <color rgb="FF000066"/>
      </left>
      <right style="thin">
        <color rgb="FF000066"/>
      </right>
      <top style="medium">
        <color rgb="FF000066"/>
      </top>
      <bottom style="thin">
        <color rgb="FF000066"/>
      </bottom>
      <diagonal/>
    </border>
    <border>
      <left/>
      <right/>
      <top style="medium">
        <color rgb="FF000066"/>
      </top>
      <bottom/>
      <diagonal/>
    </border>
    <border>
      <left/>
      <right style="medium">
        <color rgb="FF000066"/>
      </right>
      <top style="medium">
        <color rgb="FF000066"/>
      </top>
      <bottom/>
      <diagonal/>
    </border>
    <border>
      <left/>
      <right style="medium">
        <color rgb="FF000066"/>
      </right>
      <top/>
      <bottom/>
      <diagonal/>
    </border>
    <border>
      <left style="medium">
        <color rgb="FF000066"/>
      </left>
      <right/>
      <top style="thin">
        <color rgb="FF000066"/>
      </top>
      <bottom style="medium">
        <color rgb="FF000066"/>
      </bottom>
      <diagonal/>
    </border>
    <border>
      <left/>
      <right style="thin">
        <color rgb="FF000066"/>
      </right>
      <top style="thin">
        <color rgb="FF000066"/>
      </top>
      <bottom style="medium">
        <color rgb="FF000066"/>
      </bottom>
      <diagonal/>
    </border>
    <border>
      <left style="thin">
        <color rgb="FF000066"/>
      </left>
      <right style="thin">
        <color rgb="FF000066"/>
      </right>
      <top style="thin">
        <color rgb="FF000066"/>
      </top>
      <bottom style="medium">
        <color rgb="FF00006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66"/>
      </left>
      <right style="thin">
        <color rgb="FF000066"/>
      </right>
      <top style="thin">
        <color rgb="FF000066"/>
      </top>
      <bottom/>
      <diagonal/>
    </border>
    <border>
      <left style="thin">
        <color rgb="FF000066"/>
      </left>
      <right/>
      <top/>
      <bottom style="thin">
        <color rgb="FF00006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66"/>
      </right>
      <top/>
      <bottom style="thin">
        <color rgb="FF000066"/>
      </bottom>
      <diagonal/>
    </border>
    <border>
      <left style="thin">
        <color rgb="FF000066"/>
      </left>
      <right style="thin">
        <color rgb="FF000066"/>
      </right>
      <top/>
      <bottom style="thin">
        <color rgb="FF000066"/>
      </bottom>
      <diagonal/>
    </border>
    <border>
      <left style="thin">
        <color rgb="FF000066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66"/>
      </right>
      <top/>
      <bottom/>
      <diagonal/>
    </border>
    <border>
      <left style="thin">
        <color rgb="FF000066"/>
      </left>
      <right style="thin">
        <color rgb="FF000066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rgb="FF000099"/>
      </left>
      <right/>
      <top style="thin">
        <color rgb="FF000099"/>
      </top>
      <bottom style="thin">
        <color rgb="FF000099"/>
      </bottom>
      <diagonal/>
    </border>
    <border>
      <left/>
      <right/>
      <top/>
      <bottom style="double">
        <color rgb="FF000066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thin">
        <color rgb="FF000099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2" applyFont="1" applyBorder="1"/>
    <xf numFmtId="164" fontId="0" fillId="0" borderId="1" xfId="0" applyNumberFormat="1" applyFont="1" applyBorder="1"/>
    <xf numFmtId="0" fontId="5" fillId="0" borderId="1" xfId="0" applyFont="1" applyBorder="1" applyAlignment="1">
      <alignment horizontal="center"/>
    </xf>
    <xf numFmtId="44" fontId="6" fillId="2" borderId="1" xfId="0" applyNumberFormat="1" applyFont="1" applyFill="1" applyBorder="1"/>
    <xf numFmtId="44" fontId="8" fillId="3" borderId="0" xfId="0" applyNumberFormat="1" applyFont="1" applyFill="1"/>
    <xf numFmtId="44" fontId="10" fillId="3" borderId="0" xfId="0" applyNumberFormat="1" applyFont="1" applyFill="1"/>
    <xf numFmtId="44" fontId="0" fillId="0" borderId="2" xfId="2" applyFont="1" applyBorder="1"/>
    <xf numFmtId="0" fontId="6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0" xfId="0" applyFont="1" applyFill="1"/>
    <xf numFmtId="0" fontId="0" fillId="0" borderId="2" xfId="0" applyBorder="1"/>
    <xf numFmtId="44" fontId="0" fillId="0" borderId="2" xfId="0" applyNumberFormat="1" applyBorder="1"/>
    <xf numFmtId="0" fontId="2" fillId="3" borderId="0" xfId="0" applyFont="1" applyFill="1" applyAlignment="1">
      <alignment horizontal="center"/>
    </xf>
    <xf numFmtId="0" fontId="7" fillId="2" borderId="0" xfId="0" applyFont="1" applyFill="1"/>
    <xf numFmtId="0" fontId="6" fillId="2" borderId="0" xfId="0" applyFont="1" applyFill="1"/>
    <xf numFmtId="44" fontId="7" fillId="0" borderId="0" xfId="0" applyNumberFormat="1" applyFont="1"/>
    <xf numFmtId="44" fontId="14" fillId="3" borderId="0" xfId="0" applyNumberFormat="1" applyFont="1" applyFill="1"/>
    <xf numFmtId="0" fontId="3" fillId="3" borderId="0" xfId="0" applyFont="1" applyFill="1" applyAlignment="1"/>
    <xf numFmtId="44" fontId="0" fillId="2" borderId="2" xfId="0" applyNumberFormat="1" applyFill="1" applyBorder="1"/>
    <xf numFmtId="0" fontId="3" fillId="3" borderId="0" xfId="0" applyFont="1" applyFill="1" applyAlignment="1">
      <alignment horizontal="center" wrapText="1"/>
    </xf>
    <xf numFmtId="0" fontId="3" fillId="3" borderId="0" xfId="0" applyFont="1" applyFill="1"/>
    <xf numFmtId="0" fontId="0" fillId="2" borderId="2" xfId="0" applyFill="1" applyBorder="1"/>
    <xf numFmtId="44" fontId="13" fillId="2" borderId="2" xfId="0" applyNumberFormat="1" applyFont="1" applyFill="1" applyBorder="1"/>
    <xf numFmtId="0" fontId="12" fillId="2" borderId="2" xfId="0" applyFont="1" applyFill="1" applyBorder="1"/>
    <xf numFmtId="44" fontId="12" fillId="2" borderId="2" xfId="2" applyFont="1" applyFill="1" applyBorder="1"/>
    <xf numFmtId="44" fontId="7" fillId="2" borderId="2" xfId="2" applyFont="1" applyFill="1" applyBorder="1"/>
    <xf numFmtId="44" fontId="13" fillId="2" borderId="8" xfId="0" applyNumberFormat="1" applyFont="1" applyFill="1" applyBorder="1" applyAlignment="1"/>
    <xf numFmtId="44" fontId="13" fillId="2" borderId="9" xfId="0" applyNumberFormat="1" applyFont="1" applyFill="1" applyBorder="1" applyAlignment="1"/>
    <xf numFmtId="44" fontId="0" fillId="5" borderId="5" xfId="2" applyFont="1" applyFill="1" applyBorder="1" applyAlignment="1"/>
    <xf numFmtId="44" fontId="0" fillId="5" borderId="7" xfId="2" applyFont="1" applyFill="1" applyBorder="1" applyAlignment="1"/>
    <xf numFmtId="44" fontId="0" fillId="5" borderId="10" xfId="2" applyFont="1" applyFill="1" applyBorder="1" applyAlignment="1"/>
    <xf numFmtId="44" fontId="0" fillId="5" borderId="11" xfId="2" applyFont="1" applyFill="1" applyBorder="1" applyAlignment="1"/>
    <xf numFmtId="0" fontId="3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0" borderId="7" xfId="0" applyBorder="1"/>
    <xf numFmtId="167" fontId="0" fillId="0" borderId="7" xfId="1" applyNumberFormat="1" applyFont="1" applyBorder="1"/>
    <xf numFmtId="44" fontId="0" fillId="0" borderId="13" xfId="0" applyNumberFormat="1" applyBorder="1"/>
    <xf numFmtId="9" fontId="0" fillId="0" borderId="15" xfId="0" applyNumberFormat="1" applyBorder="1"/>
    <xf numFmtId="166" fontId="0" fillId="0" borderId="15" xfId="3" applyNumberFormat="1" applyFont="1" applyBorder="1"/>
    <xf numFmtId="0" fontId="0" fillId="0" borderId="15" xfId="0" applyBorder="1"/>
    <xf numFmtId="0" fontId="6" fillId="2" borderId="12" xfId="0" applyFont="1" applyFill="1" applyBorder="1"/>
    <xf numFmtId="0" fontId="6" fillId="2" borderId="14" xfId="0" applyFont="1" applyFill="1" applyBorder="1"/>
    <xf numFmtId="0" fontId="6" fillId="2" borderId="16" xfId="0" applyFont="1" applyFill="1" applyBorder="1"/>
    <xf numFmtId="165" fontId="0" fillId="0" borderId="15" xfId="0" applyNumberFormat="1" applyBorder="1"/>
    <xf numFmtId="44" fontId="13" fillId="0" borderId="17" xfId="2" applyFont="1" applyBorder="1"/>
    <xf numFmtId="0" fontId="0" fillId="0" borderId="12" xfId="0" applyBorder="1" applyAlignment="1">
      <alignment horizontal="center"/>
    </xf>
    <xf numFmtId="44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21" xfId="0" applyBorder="1"/>
    <xf numFmtId="0" fontId="0" fillId="2" borderId="14" xfId="0" applyFill="1" applyBorder="1" applyAlignment="1">
      <alignment horizontal="center"/>
    </xf>
    <xf numFmtId="44" fontId="0" fillId="2" borderId="15" xfId="2" applyFont="1" applyFill="1" applyBorder="1"/>
    <xf numFmtId="44" fontId="14" fillId="3" borderId="24" xfId="0" applyNumberFormat="1" applyFont="1" applyFill="1" applyBorder="1"/>
    <xf numFmtId="44" fontId="14" fillId="3" borderId="24" xfId="2" applyFont="1" applyFill="1" applyBorder="1"/>
    <xf numFmtId="44" fontId="14" fillId="3" borderId="17" xfId="2" applyFont="1" applyFill="1" applyBorder="1"/>
    <xf numFmtId="44" fontId="3" fillId="3" borderId="2" xfId="2" applyFont="1" applyFill="1" applyBorder="1"/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0" fillId="0" borderId="0" xfId="0" applyAlignment="1">
      <alignment horizontal="center"/>
    </xf>
    <xf numFmtId="44" fontId="0" fillId="0" borderId="0" xfId="2" applyFont="1"/>
    <xf numFmtId="44" fontId="0" fillId="0" borderId="0" xfId="0" applyNumberFormat="1"/>
    <xf numFmtId="44" fontId="4" fillId="6" borderId="0" xfId="2" applyFont="1" applyFill="1"/>
    <xf numFmtId="44" fontId="0" fillId="7" borderId="0" xfId="0" applyNumberFormat="1" applyFill="1"/>
    <xf numFmtId="44" fontId="7" fillId="2" borderId="0" xfId="0" applyNumberFormat="1" applyFont="1" applyFill="1"/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7" borderId="0" xfId="0" applyFill="1" applyAlignment="1">
      <alignment horizontal="right"/>
    </xf>
    <xf numFmtId="0" fontId="16" fillId="2" borderId="0" xfId="0" applyFont="1" applyFill="1"/>
    <xf numFmtId="0" fontId="13" fillId="2" borderId="0" xfId="0" applyFont="1" applyFill="1"/>
    <xf numFmtId="0" fontId="16" fillId="2" borderId="0" xfId="0" applyFont="1" applyFill="1" applyAlignment="1">
      <alignment horizontal="right"/>
    </xf>
    <xf numFmtId="0" fontId="11" fillId="0" borderId="0" xfId="0" applyFont="1"/>
    <xf numFmtId="0" fontId="16" fillId="5" borderId="0" xfId="0" applyFont="1" applyFill="1" applyAlignment="1">
      <alignment horizontal="right"/>
    </xf>
    <xf numFmtId="0" fontId="11" fillId="0" borderId="28" xfId="0" applyFont="1" applyBorder="1"/>
    <xf numFmtId="9" fontId="11" fillId="0" borderId="28" xfId="0" applyNumberFormat="1" applyFont="1" applyBorder="1" applyAlignment="1">
      <alignment horizontal="center"/>
    </xf>
    <xf numFmtId="44" fontId="11" fillId="0" borderId="28" xfId="2" applyFont="1" applyBorder="1"/>
    <xf numFmtId="44" fontId="11" fillId="0" borderId="28" xfId="0" applyNumberFormat="1" applyFont="1" applyBorder="1"/>
    <xf numFmtId="2" fontId="11" fillId="0" borderId="28" xfId="0" applyNumberFormat="1" applyFont="1" applyBorder="1"/>
    <xf numFmtId="0" fontId="11" fillId="0" borderId="0" xfId="0" applyFont="1" applyBorder="1"/>
    <xf numFmtId="44" fontId="18" fillId="8" borderId="0" xfId="0" applyNumberFormat="1" applyFont="1" applyFill="1"/>
    <xf numFmtId="2" fontId="18" fillId="8" borderId="0" xfId="0" applyNumberFormat="1" applyFont="1" applyFill="1" applyAlignment="1">
      <alignment horizontal="center"/>
    </xf>
    <xf numFmtId="0" fontId="18" fillId="8" borderId="0" xfId="0" applyFont="1" applyFill="1"/>
    <xf numFmtId="0" fontId="11" fillId="0" borderId="0" xfId="0" applyFont="1" applyBorder="1" applyAlignment="1">
      <alignment wrapText="1"/>
    </xf>
    <xf numFmtId="9" fontId="11" fillId="0" borderId="0" xfId="0" applyNumberFormat="1" applyFont="1" applyBorder="1" applyAlignment="1">
      <alignment horizontal="center"/>
    </xf>
    <xf numFmtId="44" fontId="11" fillId="0" borderId="29" xfId="0" applyNumberFormat="1" applyFont="1" applyBorder="1"/>
    <xf numFmtId="2" fontId="11" fillId="0" borderId="0" xfId="0" applyNumberFormat="1" applyFont="1" applyBorder="1"/>
    <xf numFmtId="44" fontId="11" fillId="0" borderId="0" xfId="0" applyNumberFormat="1" applyFont="1" applyBorder="1"/>
    <xf numFmtId="0" fontId="2" fillId="3" borderId="0" xfId="0" applyFont="1" applyFill="1" applyAlignment="1">
      <alignment horizontal="center" wrapText="1"/>
    </xf>
    <xf numFmtId="0" fontId="14" fillId="8" borderId="0" xfId="0" applyFont="1" applyFill="1" applyAlignment="1">
      <alignment horizontal="center" wrapText="1"/>
    </xf>
    <xf numFmtId="2" fontId="18" fillId="8" borderId="28" xfId="0" applyNumberFormat="1" applyFont="1" applyFill="1" applyBorder="1"/>
    <xf numFmtId="44" fontId="18" fillId="8" borderId="28" xfId="0" applyNumberFormat="1" applyFont="1" applyFill="1" applyBorder="1"/>
    <xf numFmtId="9" fontId="20" fillId="3" borderId="0" xfId="0" applyNumberFormat="1" applyFont="1" applyFill="1" applyBorder="1" applyAlignment="1">
      <alignment horizontal="center"/>
    </xf>
    <xf numFmtId="44" fontId="11" fillId="0" borderId="25" xfId="0" applyNumberFormat="1" applyFont="1" applyBorder="1"/>
    <xf numFmtId="44" fontId="11" fillId="0" borderId="30" xfId="0" applyNumberFormat="1" applyFont="1" applyBorder="1"/>
    <xf numFmtId="44" fontId="11" fillId="0" borderId="31" xfId="0" applyNumberFormat="1" applyFont="1" applyBorder="1"/>
    <xf numFmtId="44" fontId="14" fillId="3" borderId="25" xfId="0" applyNumberFormat="1" applyFont="1" applyFill="1" applyBorder="1"/>
    <xf numFmtId="44" fontId="14" fillId="3" borderId="32" xfId="0" applyNumberFormat="1" applyFont="1" applyFill="1" applyBorder="1"/>
    <xf numFmtId="44" fontId="14" fillId="9" borderId="33" xfId="0" applyNumberFormat="1" applyFont="1" applyFill="1" applyBorder="1"/>
    <xf numFmtId="0" fontId="3" fillId="9" borderId="0" xfId="0" applyFont="1" applyFill="1" applyAlignment="1">
      <alignment horizontal="center" wrapText="1"/>
    </xf>
    <xf numFmtId="2" fontId="11" fillId="0" borderId="28" xfId="0" applyNumberFormat="1" applyFont="1" applyBorder="1" applyAlignment="1">
      <alignment horizontal="center"/>
    </xf>
    <xf numFmtId="2" fontId="13" fillId="6" borderId="28" xfId="0" applyNumberFormat="1" applyFont="1" applyFill="1" applyBorder="1" applyAlignment="1">
      <alignment horizontal="center"/>
    </xf>
    <xf numFmtId="44" fontId="13" fillId="6" borderId="28" xfId="0" applyNumberFormat="1" applyFont="1" applyFill="1" applyBorder="1"/>
    <xf numFmtId="44" fontId="13" fillId="6" borderId="28" xfId="2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0" fillId="9" borderId="0" xfId="0" applyFill="1"/>
    <xf numFmtId="0" fontId="2" fillId="4" borderId="0" xfId="0" applyFont="1" applyFill="1"/>
    <xf numFmtId="0" fontId="23" fillId="0" borderId="28" xfId="0" applyFont="1" applyBorder="1"/>
    <xf numFmtId="0" fontId="23" fillId="0" borderId="28" xfId="0" applyFont="1" applyBorder="1" applyAlignment="1">
      <alignment wrapText="1"/>
    </xf>
    <xf numFmtId="0" fontId="0" fillId="0" borderId="28" xfId="0" applyBorder="1"/>
    <xf numFmtId="0" fontId="2" fillId="4" borderId="34" xfId="0" applyFont="1" applyFill="1" applyBorder="1"/>
    <xf numFmtId="0" fontId="2" fillId="4" borderId="35" xfId="0" applyFont="1" applyFill="1" applyBorder="1"/>
    <xf numFmtId="0" fontId="2" fillId="4" borderId="36" xfId="0" applyFont="1" applyFill="1" applyBorder="1"/>
    <xf numFmtId="0" fontId="24" fillId="0" borderId="37" xfId="0" applyFont="1" applyBorder="1"/>
    <xf numFmtId="0" fontId="24" fillId="0" borderId="37" xfId="0" applyFont="1" applyBorder="1" applyAlignment="1">
      <alignment wrapText="1"/>
    </xf>
    <xf numFmtId="0" fontId="24" fillId="0" borderId="38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44" fontId="0" fillId="0" borderId="0" xfId="2" applyFont="1" applyBorder="1"/>
    <xf numFmtId="44" fontId="0" fillId="0" borderId="28" xfId="2" applyFont="1" applyBorder="1"/>
    <xf numFmtId="44" fontId="14" fillId="8" borderId="28" xfId="0" applyNumberFormat="1" applyFont="1" applyFill="1" applyBorder="1"/>
    <xf numFmtId="44" fontId="14" fillId="4" borderId="28" xfId="0" applyNumberFormat="1" applyFont="1" applyFill="1" applyBorder="1"/>
    <xf numFmtId="0" fontId="23" fillId="0" borderId="0" xfId="0" applyFont="1" applyAlignment="1">
      <alignment horizontal="center"/>
    </xf>
    <xf numFmtId="0" fontId="24" fillId="0" borderId="2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5" fillId="2" borderId="40" xfId="0" applyFont="1" applyFill="1" applyBorder="1" applyAlignment="1">
      <alignment horizontal="right" wrapText="1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24" fillId="2" borderId="41" xfId="0" applyFont="1" applyFill="1" applyBorder="1" applyAlignment="1">
      <alignment horizontal="right" wrapText="1"/>
    </xf>
    <xf numFmtId="2" fontId="24" fillId="0" borderId="27" xfId="0" applyNumberFormat="1" applyFont="1" applyBorder="1" applyAlignment="1">
      <alignment horizontal="center"/>
    </xf>
    <xf numFmtId="2" fontId="25" fillId="2" borderId="41" xfId="0" applyNumberFormat="1" applyFont="1" applyFill="1" applyBorder="1" applyAlignment="1">
      <alignment horizontal="center" wrapText="1"/>
    </xf>
    <xf numFmtId="44" fontId="24" fillId="0" borderId="27" xfId="0" applyNumberFormat="1" applyFont="1" applyBorder="1"/>
    <xf numFmtId="0" fontId="26" fillId="4" borderId="35" xfId="0" applyFont="1" applyFill="1" applyBorder="1" applyAlignment="1">
      <alignment horizontal="center"/>
    </xf>
    <xf numFmtId="44" fontId="24" fillId="0" borderId="28" xfId="0" applyNumberFormat="1" applyFont="1" applyBorder="1"/>
    <xf numFmtId="44" fontId="0" fillId="2" borderId="41" xfId="2" applyFont="1" applyFill="1" applyBorder="1"/>
    <xf numFmtId="44" fontId="0" fillId="2" borderId="42" xfId="2" applyFont="1" applyFill="1" applyBorder="1"/>
    <xf numFmtId="44" fontId="0" fillId="0" borderId="44" xfId="2" applyFont="1" applyBorder="1"/>
    <xf numFmtId="44" fontId="13" fillId="2" borderId="2" xfId="2" applyFont="1" applyFill="1" applyBorder="1"/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44" fontId="0" fillId="5" borderId="2" xfId="2" applyFont="1" applyFill="1" applyBorder="1"/>
    <xf numFmtId="44" fontId="0" fillId="0" borderId="49" xfId="2" applyFont="1" applyBorder="1"/>
    <xf numFmtId="0" fontId="0" fillId="0" borderId="49" xfId="0" applyBorder="1"/>
    <xf numFmtId="44" fontId="16" fillId="2" borderId="47" xfId="2" applyFont="1" applyFill="1" applyBorder="1"/>
    <xf numFmtId="44" fontId="0" fillId="5" borderId="28" xfId="2" applyFont="1" applyFill="1" applyBorder="1"/>
    <xf numFmtId="44" fontId="16" fillId="2" borderId="51" xfId="2" applyFont="1" applyFill="1" applyBorder="1"/>
    <xf numFmtId="44" fontId="13" fillId="5" borderId="46" xfId="0" applyNumberFormat="1" applyFont="1" applyFill="1" applyBorder="1"/>
    <xf numFmtId="44" fontId="0" fillId="0" borderId="28" xfId="0" applyNumberFormat="1" applyBorder="1"/>
    <xf numFmtId="44" fontId="0" fillId="0" borderId="53" xfId="0" applyNumberFormat="1" applyBorder="1"/>
    <xf numFmtId="0" fontId="26" fillId="4" borderId="35" xfId="0" applyFont="1" applyFill="1" applyBorder="1" applyAlignment="1">
      <alignment horizontal="center" wrapText="1"/>
    </xf>
    <xf numFmtId="44" fontId="16" fillId="2" borderId="0" xfId="0" applyNumberFormat="1" applyFont="1" applyFill="1"/>
    <xf numFmtId="0" fontId="27" fillId="3" borderId="0" xfId="0" applyFont="1" applyFill="1" applyBorder="1" applyAlignment="1">
      <alignment horizontal="center" wrapText="1"/>
    </xf>
    <xf numFmtId="44" fontId="24" fillId="0" borderId="27" xfId="2" applyFont="1" applyBorder="1"/>
    <xf numFmtId="44" fontId="24" fillId="0" borderId="54" xfId="0" applyNumberFormat="1" applyFont="1" applyBorder="1"/>
    <xf numFmtId="44" fontId="24" fillId="0" borderId="47" xfId="0" applyNumberFormat="1" applyFont="1" applyBorder="1"/>
    <xf numFmtId="0" fontId="24" fillId="0" borderId="55" xfId="0" applyFont="1" applyBorder="1" applyAlignment="1">
      <alignment wrapText="1"/>
    </xf>
    <xf numFmtId="44" fontId="24" fillId="0" borderId="54" xfId="2" applyFont="1" applyBorder="1"/>
    <xf numFmtId="0" fontId="25" fillId="2" borderId="43" xfId="0" applyFont="1" applyFill="1" applyBorder="1" applyAlignment="1">
      <alignment horizontal="right" wrapText="1"/>
    </xf>
    <xf numFmtId="44" fontId="25" fillId="2" borderId="43" xfId="0" applyNumberFormat="1" applyFont="1" applyFill="1" applyBorder="1" applyAlignment="1">
      <alignment horizontal="right" wrapText="1"/>
    </xf>
    <xf numFmtId="0" fontId="0" fillId="0" borderId="56" xfId="0" applyFont="1" applyBorder="1"/>
    <xf numFmtId="44" fontId="0" fillId="0" borderId="57" xfId="0" applyNumberFormat="1" applyFont="1" applyBorder="1"/>
    <xf numFmtId="0" fontId="0" fillId="0" borderId="37" xfId="0" applyFont="1" applyBorder="1"/>
    <xf numFmtId="0" fontId="0" fillId="0" borderId="38" xfId="0" applyFont="1" applyBorder="1"/>
    <xf numFmtId="0" fontId="0" fillId="6" borderId="58" xfId="0" applyFont="1" applyFill="1" applyBorder="1" applyAlignment="1">
      <alignment horizontal="center"/>
    </xf>
    <xf numFmtId="44" fontId="0" fillId="0" borderId="28" xfId="0" applyNumberFormat="1" applyFont="1" applyBorder="1"/>
    <xf numFmtId="44" fontId="0" fillId="0" borderId="39" xfId="0" applyNumberFormat="1" applyFont="1" applyBorder="1"/>
    <xf numFmtId="44" fontId="0" fillId="6" borderId="58" xfId="0" applyNumberFormat="1" applyFont="1" applyFill="1" applyBorder="1"/>
    <xf numFmtId="0" fontId="14" fillId="4" borderId="0" xfId="0" applyFont="1" applyFill="1"/>
    <xf numFmtId="0" fontId="11" fillId="6" borderId="28" xfId="0" applyFont="1" applyFill="1" applyBorder="1"/>
    <xf numFmtId="44" fontId="11" fillId="6" borderId="28" xfId="0" applyNumberFormat="1" applyFont="1" applyFill="1" applyBorder="1"/>
    <xf numFmtId="0" fontId="0" fillId="0" borderId="59" xfId="0" applyBorder="1"/>
    <xf numFmtId="0" fontId="0" fillId="0" borderId="2" xfId="0" applyBorder="1" applyAlignment="1">
      <alignment horizontal="center"/>
    </xf>
    <xf numFmtId="9" fontId="0" fillId="0" borderId="2" xfId="3" applyFont="1" applyBorder="1" applyAlignment="1">
      <alignment horizontal="center"/>
    </xf>
    <xf numFmtId="44" fontId="2" fillId="3" borderId="0" xfId="0" applyNumberFormat="1" applyFont="1" applyFill="1"/>
    <xf numFmtId="0" fontId="11" fillId="10" borderId="0" xfId="0" applyFont="1" applyFill="1" applyBorder="1" applyAlignment="1">
      <alignment horizontal="center"/>
    </xf>
    <xf numFmtId="10" fontId="11" fillId="2" borderId="0" xfId="3" applyNumberFormat="1" applyFont="1" applyFill="1"/>
    <xf numFmtId="0" fontId="14" fillId="5" borderId="0" xfId="0" applyFont="1" applyFill="1"/>
    <xf numFmtId="0" fontId="14" fillId="4" borderId="0" xfId="0" applyFont="1" applyFill="1" applyAlignment="1">
      <alignment horizontal="center"/>
    </xf>
    <xf numFmtId="0" fontId="0" fillId="6" borderId="0" xfId="0" applyFill="1"/>
    <xf numFmtId="44" fontId="0" fillId="6" borderId="0" xfId="0" applyNumberFormat="1" applyFill="1"/>
    <xf numFmtId="0" fontId="0" fillId="11" borderId="0" xfId="0" applyFill="1"/>
    <xf numFmtId="44" fontId="0" fillId="11" borderId="0" xfId="0" applyNumberFormat="1" applyFill="1"/>
    <xf numFmtId="0" fontId="0" fillId="11" borderId="60" xfId="0" applyFill="1" applyBorder="1"/>
    <xf numFmtId="44" fontId="0" fillId="11" borderId="60" xfId="0" applyNumberFormat="1" applyFill="1" applyBorder="1"/>
    <xf numFmtId="0" fontId="0" fillId="0" borderId="61" xfId="0" applyBorder="1" applyAlignment="1">
      <alignment horizontal="right"/>
    </xf>
    <xf numFmtId="44" fontId="0" fillId="0" borderId="61" xfId="0" applyNumberFormat="1" applyBorder="1"/>
    <xf numFmtId="0" fontId="0" fillId="0" borderId="61" xfId="0" applyBorder="1"/>
    <xf numFmtId="0" fontId="0" fillId="0" borderId="62" xfId="0" applyBorder="1"/>
    <xf numFmtId="44" fontId="0" fillId="0" borderId="62" xfId="0" applyNumberFormat="1" applyBorder="1"/>
    <xf numFmtId="0" fontId="0" fillId="0" borderId="63" xfId="0" applyBorder="1"/>
    <xf numFmtId="0" fontId="0" fillId="0" borderId="64" xfId="0" applyBorder="1"/>
    <xf numFmtId="44" fontId="0" fillId="0" borderId="64" xfId="0" applyNumberFormat="1" applyBorder="1"/>
    <xf numFmtId="44" fontId="0" fillId="0" borderId="65" xfId="0" applyNumberFormat="1" applyBorder="1"/>
    <xf numFmtId="44" fontId="0" fillId="7" borderId="0" xfId="2" applyFont="1" applyFill="1"/>
    <xf numFmtId="0" fontId="13" fillId="0" borderId="0" xfId="0" applyFont="1"/>
    <xf numFmtId="9" fontId="13" fillId="0" borderId="0" xfId="3" applyFont="1"/>
    <xf numFmtId="44" fontId="16" fillId="0" borderId="0" xfId="0" applyNumberFormat="1" applyFont="1"/>
    <xf numFmtId="44" fontId="16" fillId="0" borderId="61" xfId="0" applyNumberFormat="1" applyFont="1" applyBorder="1"/>
    <xf numFmtId="0" fontId="16" fillId="0" borderId="0" xfId="0" applyFont="1" applyAlignment="1">
      <alignment horizontal="right"/>
    </xf>
    <xf numFmtId="44" fontId="0" fillId="0" borderId="67" xfId="0" applyNumberFormat="1" applyBorder="1"/>
    <xf numFmtId="44" fontId="0" fillId="0" borderId="68" xfId="0" applyNumberFormat="1" applyBorder="1"/>
    <xf numFmtId="44" fontId="0" fillId="0" borderId="69" xfId="0" applyNumberFormat="1" applyBorder="1"/>
    <xf numFmtId="9" fontId="13" fillId="0" borderId="66" xfId="0" applyNumberFormat="1" applyFont="1" applyBorder="1"/>
    <xf numFmtId="0" fontId="13" fillId="6" borderId="66" xfId="0" applyFont="1" applyFill="1" applyBorder="1"/>
    <xf numFmtId="0" fontId="13" fillId="11" borderId="66" xfId="0" applyFont="1" applyFill="1" applyBorder="1"/>
    <xf numFmtId="0" fontId="16" fillId="7" borderId="0" xfId="0" applyFont="1" applyFill="1" applyAlignment="1">
      <alignment horizontal="left"/>
    </xf>
    <xf numFmtId="44" fontId="5" fillId="7" borderId="0" xfId="0" applyNumberFormat="1" applyFont="1" applyFill="1"/>
    <xf numFmtId="44" fontId="22" fillId="0" borderId="66" xfId="0" applyNumberFormat="1" applyFont="1" applyBorder="1"/>
    <xf numFmtId="0" fontId="16" fillId="2" borderId="72" xfId="0" applyFont="1" applyFill="1" applyBorder="1" applyAlignment="1">
      <alignment horizontal="center"/>
    </xf>
    <xf numFmtId="0" fontId="16" fillId="2" borderId="71" xfId="0" applyFont="1" applyFill="1" applyBorder="1" applyAlignment="1">
      <alignment horizontal="center"/>
    </xf>
    <xf numFmtId="43" fontId="32" fillId="0" borderId="72" xfId="1" applyFont="1" applyBorder="1"/>
    <xf numFmtId="43" fontId="32" fillId="0" borderId="70" xfId="1" applyFont="1" applyBorder="1"/>
    <xf numFmtId="0" fontId="0" fillId="0" borderId="0" xfId="0" applyFont="1" applyFill="1" applyBorder="1"/>
    <xf numFmtId="0" fontId="24" fillId="0" borderId="73" xfId="0" applyFont="1" applyFill="1" applyBorder="1" applyAlignment="1">
      <alignment wrapText="1"/>
    </xf>
    <xf numFmtId="0" fontId="16" fillId="2" borderId="0" xfId="0" applyFont="1" applyFill="1" applyBorder="1" applyAlignment="1">
      <alignment horizontal="center"/>
    </xf>
    <xf numFmtId="0" fontId="0" fillId="11" borderId="0" xfId="0" applyFill="1" applyBorder="1"/>
    <xf numFmtId="44" fontId="0" fillId="11" borderId="0" xfId="0" applyNumberFormat="1" applyFill="1" applyBorder="1"/>
    <xf numFmtId="44" fontId="33" fillId="11" borderId="0" xfId="0" applyNumberFormat="1" applyFont="1" applyFill="1" applyBorder="1"/>
    <xf numFmtId="44" fontId="16" fillId="2" borderId="41" xfId="0" applyNumberFormat="1" applyFont="1" applyFill="1" applyBorder="1" applyAlignment="1">
      <alignment horizontal="right" wrapText="1"/>
    </xf>
    <xf numFmtId="44" fontId="0" fillId="2" borderId="41" xfId="0" applyNumberFormat="1" applyFont="1" applyFill="1" applyBorder="1" applyAlignment="1">
      <alignment horizontal="right" wrapText="1"/>
    </xf>
    <xf numFmtId="44" fontId="1" fillId="2" borderId="43" xfId="2" applyFont="1" applyFill="1" applyBorder="1"/>
    <xf numFmtId="44" fontId="1" fillId="2" borderId="41" xfId="2" applyFont="1" applyFill="1" applyBorder="1"/>
    <xf numFmtId="44" fontId="1" fillId="2" borderId="42" xfId="2" applyFont="1" applyFill="1" applyBorder="1"/>
    <xf numFmtId="43" fontId="32" fillId="0" borderId="0" xfId="1" applyFont="1" applyBorder="1"/>
    <xf numFmtId="44" fontId="0" fillId="2" borderId="28" xfId="0" applyNumberFormat="1" applyFill="1" applyBorder="1"/>
    <xf numFmtId="44" fontId="16" fillId="2" borderId="28" xfId="0" applyNumberFormat="1" applyFont="1" applyFill="1" applyBorder="1"/>
    <xf numFmtId="0" fontId="9" fillId="2" borderId="0" xfId="0" applyFont="1" applyFill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3" borderId="5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16" fillId="2" borderId="5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0" xfId="0" applyFont="1" applyFill="1"/>
    <xf numFmtId="0" fontId="0" fillId="0" borderId="2" xfId="0" applyBorder="1"/>
    <xf numFmtId="0" fontId="4" fillId="2" borderId="0" xfId="0" applyFont="1" applyFill="1" applyAlignment="1">
      <alignment horizontal="center"/>
    </xf>
    <xf numFmtId="0" fontId="3" fillId="3" borderId="0" xfId="0" applyFont="1" applyFill="1" applyAlignment="1"/>
    <xf numFmtId="0" fontId="14" fillId="3" borderId="22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0" fillId="7" borderId="0" xfId="0" applyFill="1" applyAlignment="1">
      <alignment horizontal="right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4" fillId="6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/>
    </xf>
    <xf numFmtId="0" fontId="11" fillId="2" borderId="29" xfId="0" applyFont="1" applyFill="1" applyBorder="1" applyAlignment="1">
      <alignment horizontal="center" wrapText="1"/>
    </xf>
    <xf numFmtId="2" fontId="20" fillId="3" borderId="0" xfId="0" applyNumberFormat="1" applyFont="1" applyFill="1"/>
    <xf numFmtId="0" fontId="20" fillId="3" borderId="0" xfId="0" applyFont="1" applyFill="1"/>
    <xf numFmtId="44" fontId="20" fillId="3" borderId="0" xfId="0" applyNumberFormat="1" applyFont="1" applyFill="1"/>
    <xf numFmtId="0" fontId="21" fillId="2" borderId="0" xfId="0" applyFont="1" applyFill="1"/>
    <xf numFmtId="0" fontId="22" fillId="2" borderId="0" xfId="0" applyFont="1" applyFill="1" applyAlignment="1">
      <alignment horizontal="left"/>
    </xf>
    <xf numFmtId="0" fontId="29" fillId="6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31" fillId="6" borderId="0" xfId="0" applyFont="1" applyFill="1" applyAlignment="1">
      <alignment horizontal="center"/>
    </xf>
    <xf numFmtId="0" fontId="30" fillId="8" borderId="0" xfId="0" applyFont="1" applyFill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FF99FF"/>
      <color rgb="FFFFFF00"/>
      <color rgb="FF008000"/>
      <color rgb="FF000099"/>
      <color rgb="FFFF0000"/>
      <color rgb="FF66FFFF"/>
      <color rgb="FF00CC00"/>
      <color rgb="FF0000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b="1">
                <a:solidFill>
                  <a:srgbClr val="000066"/>
                </a:solidFill>
              </a:rPr>
              <a:t>PUNTO DE EQUILIBRIO EN LA PRODUCCIÓN DE SERVICIOS</a:t>
            </a:r>
            <a:r>
              <a:rPr lang="es-PE" b="1" baseline="0">
                <a:solidFill>
                  <a:srgbClr val="000066"/>
                </a:solidFill>
              </a:rPr>
              <a:t> DE CONSULTORÍA - ESADEG</a:t>
            </a:r>
            <a:r>
              <a:rPr lang="es-PE" b="1">
                <a:solidFill>
                  <a:srgbClr val="000066"/>
                </a:solidFill>
              </a:rPr>
              <a:t> </a:t>
            </a:r>
            <a:r>
              <a:rPr lang="es-PE" b="1" baseline="0">
                <a:solidFill>
                  <a:srgbClr val="000066"/>
                </a:solidFill>
              </a:rPr>
              <a:t> </a:t>
            </a:r>
            <a:endParaRPr lang="es-PE" b="1">
              <a:solidFill>
                <a:srgbClr val="000066"/>
              </a:solidFill>
            </a:endParaRPr>
          </a:p>
        </c:rich>
      </c:tx>
      <c:layout/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3693702864691609"/>
          <c:y val="0.15244091241470531"/>
          <c:w val="0.86306297135308385"/>
          <c:h val="0.75421811501935421"/>
        </c:manualLayout>
      </c:layout>
      <c:lineChart>
        <c:grouping val="standard"/>
        <c:varyColors val="0"/>
        <c:ser>
          <c:idx val="0"/>
          <c:order val="0"/>
          <c:tx>
            <c:strRef>
              <c:f>'GRAFICA PUNTO DE EQUILIBRIO'!$C$17</c:f>
              <c:strCache>
                <c:ptCount val="1"/>
                <c:pt idx="0">
                  <c:v>Costos Fijos (CF)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'GRAFICA PUNTO DE EQUILIBRIO'!$B$18:$B$30</c:f>
              <c:numCache>
                <c:formatCode>0.00</c:formatCode>
                <c:ptCount val="13"/>
                <c:pt idx="0">
                  <c:v>0</c:v>
                </c:pt>
                <c:pt idx="1">
                  <c:v>1.0054676427555611</c:v>
                </c:pt>
                <c:pt idx="2">
                  <c:v>2.0109352855111222</c:v>
                </c:pt>
                <c:pt idx="3">
                  <c:v>3.0164029282666833</c:v>
                </c:pt>
                <c:pt idx="4">
                  <c:v>4.0218705710222444</c:v>
                </c:pt>
                <c:pt idx="5">
                  <c:v>5.0273382137778055</c:v>
                </c:pt>
                <c:pt idx="6">
                  <c:v>6.0328058565333667</c:v>
                </c:pt>
                <c:pt idx="7">
                  <c:v>7.0382734992889278</c:v>
                </c:pt>
                <c:pt idx="8">
                  <c:v>8.0437411420444889</c:v>
                </c:pt>
                <c:pt idx="9">
                  <c:v>9.0492087848000509</c:v>
                </c:pt>
                <c:pt idx="10">
                  <c:v>10.054676427555613</c:v>
                </c:pt>
                <c:pt idx="11">
                  <c:v>11.060144070311175</c:v>
                </c:pt>
                <c:pt idx="12">
                  <c:v>12.065611713066737</c:v>
                </c:pt>
              </c:numCache>
            </c:numRef>
          </c:cat>
          <c:val>
            <c:numRef>
              <c:f>'GRAFICA PUNTO DE EQUILIBRIO'!$C$18:$C$30</c:f>
              <c:numCache>
                <c:formatCode>_("S/."* #,##0.00_);_("S/."* \(#,##0.00\);_("S/."* "-"??_);_(@_)</c:formatCode>
                <c:ptCount val="13"/>
                <c:pt idx="0">
                  <c:v>21151.5</c:v>
                </c:pt>
                <c:pt idx="1">
                  <c:v>21151.5</c:v>
                </c:pt>
                <c:pt idx="2">
                  <c:v>21151.5</c:v>
                </c:pt>
                <c:pt idx="3">
                  <c:v>21151.5</c:v>
                </c:pt>
                <c:pt idx="4">
                  <c:v>21151.5</c:v>
                </c:pt>
                <c:pt idx="5">
                  <c:v>21151.5</c:v>
                </c:pt>
                <c:pt idx="6">
                  <c:v>21151.5</c:v>
                </c:pt>
                <c:pt idx="7">
                  <c:v>21151.5</c:v>
                </c:pt>
                <c:pt idx="8">
                  <c:v>21151.5</c:v>
                </c:pt>
                <c:pt idx="9">
                  <c:v>21151.5</c:v>
                </c:pt>
                <c:pt idx="10">
                  <c:v>21151.5</c:v>
                </c:pt>
                <c:pt idx="11">
                  <c:v>21151.5</c:v>
                </c:pt>
                <c:pt idx="12">
                  <c:v>21151.5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'GRAFICA PUNTO DE EQUILIBRIO'!$D$17</c:f>
              <c:strCache>
                <c:ptCount val="1"/>
                <c:pt idx="0">
                  <c:v>Costos Variables Totales (CV)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'GRAFICA PUNTO DE EQUILIBRIO'!$B$18:$B$30</c:f>
              <c:numCache>
                <c:formatCode>0.00</c:formatCode>
                <c:ptCount val="13"/>
                <c:pt idx="0">
                  <c:v>0</c:v>
                </c:pt>
                <c:pt idx="1">
                  <c:v>1.0054676427555611</c:v>
                </c:pt>
                <c:pt idx="2">
                  <c:v>2.0109352855111222</c:v>
                </c:pt>
                <c:pt idx="3">
                  <c:v>3.0164029282666833</c:v>
                </c:pt>
                <c:pt idx="4">
                  <c:v>4.0218705710222444</c:v>
                </c:pt>
                <c:pt idx="5">
                  <c:v>5.0273382137778055</c:v>
                </c:pt>
                <c:pt idx="6">
                  <c:v>6.0328058565333667</c:v>
                </c:pt>
                <c:pt idx="7">
                  <c:v>7.0382734992889278</c:v>
                </c:pt>
                <c:pt idx="8">
                  <c:v>8.0437411420444889</c:v>
                </c:pt>
                <c:pt idx="9">
                  <c:v>9.0492087848000509</c:v>
                </c:pt>
                <c:pt idx="10">
                  <c:v>10.054676427555613</c:v>
                </c:pt>
                <c:pt idx="11">
                  <c:v>11.060144070311175</c:v>
                </c:pt>
                <c:pt idx="12">
                  <c:v>12.065611713066737</c:v>
                </c:pt>
              </c:numCache>
            </c:numRef>
          </c:cat>
          <c:val>
            <c:numRef>
              <c:f>'GRAFICA PUNTO DE EQUILIBRIO'!$D$18:$D$30</c:f>
              <c:numCache>
                <c:formatCode>_("S/."* #,##0.00_);_("S/."* \(#,##0.00\);_("S/."* "-"??_);_(@_)</c:formatCode>
                <c:ptCount val="13"/>
                <c:pt idx="0">
                  <c:v>0</c:v>
                </c:pt>
                <c:pt idx="1">
                  <c:v>6016.1743506077664</c:v>
                </c:pt>
                <c:pt idx="2">
                  <c:v>12032.348701215533</c:v>
                </c:pt>
                <c:pt idx="3">
                  <c:v>18048.5230518233</c:v>
                </c:pt>
                <c:pt idx="4">
                  <c:v>24064.697402431066</c:v>
                </c:pt>
                <c:pt idx="5">
                  <c:v>30080.871753038831</c:v>
                </c:pt>
                <c:pt idx="6">
                  <c:v>36097.0461036466</c:v>
                </c:pt>
                <c:pt idx="7">
                  <c:v>42113.22045425437</c:v>
                </c:pt>
                <c:pt idx="8">
                  <c:v>48129.394804862131</c:v>
                </c:pt>
                <c:pt idx="9">
                  <c:v>54145.569155469901</c:v>
                </c:pt>
                <c:pt idx="10">
                  <c:v>60161.743506077677</c:v>
                </c:pt>
                <c:pt idx="11">
                  <c:v>66177.917856685439</c:v>
                </c:pt>
                <c:pt idx="12">
                  <c:v>72194.092207293215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'GRAFICA PUNTO DE EQUILIBRIO'!$E$17</c:f>
              <c:strCache>
                <c:ptCount val="1"/>
                <c:pt idx="0">
                  <c:v>Costos Totales (CT)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'GRAFICA PUNTO DE EQUILIBRIO'!$B$18:$B$30</c:f>
              <c:numCache>
                <c:formatCode>0.00</c:formatCode>
                <c:ptCount val="13"/>
                <c:pt idx="0">
                  <c:v>0</c:v>
                </c:pt>
                <c:pt idx="1">
                  <c:v>1.0054676427555611</c:v>
                </c:pt>
                <c:pt idx="2">
                  <c:v>2.0109352855111222</c:v>
                </c:pt>
                <c:pt idx="3">
                  <c:v>3.0164029282666833</c:v>
                </c:pt>
                <c:pt idx="4">
                  <c:v>4.0218705710222444</c:v>
                </c:pt>
                <c:pt idx="5">
                  <c:v>5.0273382137778055</c:v>
                </c:pt>
                <c:pt idx="6">
                  <c:v>6.0328058565333667</c:v>
                </c:pt>
                <c:pt idx="7">
                  <c:v>7.0382734992889278</c:v>
                </c:pt>
                <c:pt idx="8">
                  <c:v>8.0437411420444889</c:v>
                </c:pt>
                <c:pt idx="9">
                  <c:v>9.0492087848000509</c:v>
                </c:pt>
                <c:pt idx="10">
                  <c:v>10.054676427555613</c:v>
                </c:pt>
                <c:pt idx="11">
                  <c:v>11.060144070311175</c:v>
                </c:pt>
                <c:pt idx="12">
                  <c:v>12.065611713066737</c:v>
                </c:pt>
              </c:numCache>
            </c:numRef>
          </c:cat>
          <c:val>
            <c:numRef>
              <c:f>'GRAFICA PUNTO DE EQUILIBRIO'!$E$18:$E$30</c:f>
              <c:numCache>
                <c:formatCode>_("S/."* #,##0.00_);_("S/."* \(#,##0.00\);_("S/."* "-"??_);_(@_)</c:formatCode>
                <c:ptCount val="13"/>
                <c:pt idx="0">
                  <c:v>21151.5</c:v>
                </c:pt>
                <c:pt idx="1">
                  <c:v>27167.674350607766</c:v>
                </c:pt>
                <c:pt idx="2">
                  <c:v>33183.848701215531</c:v>
                </c:pt>
                <c:pt idx="3">
                  <c:v>39200.0230518233</c:v>
                </c:pt>
                <c:pt idx="4">
                  <c:v>45216.197402431062</c:v>
                </c:pt>
                <c:pt idx="5">
                  <c:v>51232.371753038831</c:v>
                </c:pt>
                <c:pt idx="6">
                  <c:v>57248.5461036466</c:v>
                </c:pt>
                <c:pt idx="7">
                  <c:v>63264.72045425437</c:v>
                </c:pt>
                <c:pt idx="8">
                  <c:v>69280.894804862124</c:v>
                </c:pt>
                <c:pt idx="9">
                  <c:v>75297.069155469901</c:v>
                </c:pt>
                <c:pt idx="10">
                  <c:v>81313.243506077677</c:v>
                </c:pt>
                <c:pt idx="11">
                  <c:v>87329.417856685439</c:v>
                </c:pt>
                <c:pt idx="12">
                  <c:v>93345.592207293215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'GRAFICA PUNTO DE EQUILIBRIO'!$F$17</c:f>
              <c:strCache>
                <c:ptCount val="1"/>
                <c:pt idx="0">
                  <c:v>Ingresos Totales (IT)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4.9698009588193945E-3"/>
                  <c:y val="2.206446143024035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0EAA1D6-BFE8-4A6C-A5A6-970B4CC84F59}" type="VALUE">
                      <a:rPr lang="en-US" sz="1100" b="1"/>
                      <a:pPr>
                        <a:defRPr/>
                      </a:pPr>
                      <a:t>[VALOR]</a:t>
                    </a:fld>
                    <a:endParaRPr lang="es-PE"/>
                  </a:p>
                </c:rich>
              </c:tx>
              <c:spPr>
                <a:solidFill>
                  <a:srgbClr val="FF99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'GRAFICA PUNTO DE EQUILIBRIO'!$B$18:$B$30</c:f>
              <c:numCache>
                <c:formatCode>0.00</c:formatCode>
                <c:ptCount val="13"/>
                <c:pt idx="0">
                  <c:v>0</c:v>
                </c:pt>
                <c:pt idx="1">
                  <c:v>1.0054676427555611</c:v>
                </c:pt>
                <c:pt idx="2">
                  <c:v>2.0109352855111222</c:v>
                </c:pt>
                <c:pt idx="3">
                  <c:v>3.0164029282666833</c:v>
                </c:pt>
                <c:pt idx="4">
                  <c:v>4.0218705710222444</c:v>
                </c:pt>
                <c:pt idx="5">
                  <c:v>5.0273382137778055</c:v>
                </c:pt>
                <c:pt idx="6">
                  <c:v>6.0328058565333667</c:v>
                </c:pt>
                <c:pt idx="7">
                  <c:v>7.0382734992889278</c:v>
                </c:pt>
                <c:pt idx="8">
                  <c:v>8.0437411420444889</c:v>
                </c:pt>
                <c:pt idx="9">
                  <c:v>9.0492087848000509</c:v>
                </c:pt>
                <c:pt idx="10">
                  <c:v>10.054676427555613</c:v>
                </c:pt>
                <c:pt idx="11">
                  <c:v>11.060144070311175</c:v>
                </c:pt>
                <c:pt idx="12">
                  <c:v>12.065611713066737</c:v>
                </c:pt>
              </c:numCache>
            </c:numRef>
          </c:cat>
          <c:val>
            <c:numRef>
              <c:f>'GRAFICA PUNTO DE EQUILIBRIO'!$F$18:$F$30</c:f>
              <c:numCache>
                <c:formatCode>_("S/."* #,##0.00_);_("S/."* \(#,##0.00\);_("S/."* "-"??_);_(@_)</c:formatCode>
                <c:ptCount val="13"/>
                <c:pt idx="0">
                  <c:v>0</c:v>
                </c:pt>
                <c:pt idx="1">
                  <c:v>8660.1118506077655</c:v>
                </c:pt>
                <c:pt idx="2">
                  <c:v>17320.223701215531</c:v>
                </c:pt>
                <c:pt idx="3">
                  <c:v>25980.335551823297</c:v>
                </c:pt>
                <c:pt idx="4">
                  <c:v>34640.447402431062</c:v>
                </c:pt>
                <c:pt idx="5">
                  <c:v>43300.559253038824</c:v>
                </c:pt>
                <c:pt idx="6">
                  <c:v>51960.671103646593</c:v>
                </c:pt>
                <c:pt idx="7">
                  <c:v>60620.782954254355</c:v>
                </c:pt>
                <c:pt idx="8">
                  <c:v>69280.894804862124</c:v>
                </c:pt>
                <c:pt idx="9">
                  <c:v>77941.006655469901</c:v>
                </c:pt>
                <c:pt idx="10">
                  <c:v>86601.118506077662</c:v>
                </c:pt>
                <c:pt idx="11">
                  <c:v>95261.230356685453</c:v>
                </c:pt>
                <c:pt idx="12">
                  <c:v>103921.34220729322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271472"/>
        <c:axId val="2054776896"/>
      </c:lineChart>
      <c:catAx>
        <c:axId val="2064271472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54776896"/>
        <c:crosses val="autoZero"/>
        <c:auto val="1"/>
        <c:lblAlgn val="ctr"/>
        <c:lblOffset val="100"/>
        <c:noMultiLvlLbl val="0"/>
      </c:catAx>
      <c:valAx>
        <c:axId val="205477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S/.&quot;* #,##0.00_);_(&quot;S/.&quot;* \(#,##0.00\);_(&quot;S/.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6427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Ratio</a:t>
            </a:r>
            <a:r>
              <a:rPr lang="es-PE" baseline="0"/>
              <a:t> de las Ventas</a:t>
            </a: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EE.GG.PP.!$B$22:$M$22</c:f>
              <c:numCache>
                <c:formatCode>0.00%</c:formatCode>
                <c:ptCount val="12"/>
                <c:pt idx="0">
                  <c:v>9.3919594158999777E-3</c:v>
                </c:pt>
                <c:pt idx="1">
                  <c:v>9.9510052071846416E-3</c:v>
                </c:pt>
                <c:pt idx="2">
                  <c:v>4.3046084962417359E-2</c:v>
                </c:pt>
                <c:pt idx="3">
                  <c:v>5.4503480824910112E-2</c:v>
                </c:pt>
                <c:pt idx="4">
                  <c:v>5.6390189230458895E-2</c:v>
                </c:pt>
                <c:pt idx="5">
                  <c:v>6.5958374591254948E-2</c:v>
                </c:pt>
                <c:pt idx="6">
                  <c:v>6.903889287009414E-2</c:v>
                </c:pt>
                <c:pt idx="7">
                  <c:v>6.903889287009414E-2</c:v>
                </c:pt>
                <c:pt idx="8">
                  <c:v>6.903889287009414E-2</c:v>
                </c:pt>
                <c:pt idx="9">
                  <c:v>6.903889287009414E-2</c:v>
                </c:pt>
                <c:pt idx="10">
                  <c:v>7.042687150242874E-2</c:v>
                </c:pt>
                <c:pt idx="11">
                  <c:v>7.042687150242874E-2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763296"/>
        <c:axId val="2054762208"/>
      </c:lineChart>
      <c:catAx>
        <c:axId val="2054763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54762208"/>
        <c:crosses val="autoZero"/>
        <c:auto val="1"/>
        <c:lblAlgn val="ctr"/>
        <c:lblOffset val="100"/>
        <c:noMultiLvlLbl val="0"/>
      </c:catAx>
      <c:valAx>
        <c:axId val="205476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5476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Crecimiento de las Ventas Netas Mensuales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EE.GG.PP.!$B$9:$M$9</c:f>
              <c:numCache>
                <c:formatCode>_("S/."* #,##0.00_);_("S/."* \(#,##0.00\);_("S/."* "-"??_);_(@_)</c:formatCode>
                <c:ptCount val="12"/>
                <c:pt idx="0">
                  <c:v>86500</c:v>
                </c:pt>
                <c:pt idx="1">
                  <c:v>94000</c:v>
                </c:pt>
                <c:pt idx="2">
                  <c:v>147000</c:v>
                </c:pt>
                <c:pt idx="3">
                  <c:v>190900</c:v>
                </c:pt>
                <c:pt idx="4">
                  <c:v>203400</c:v>
                </c:pt>
                <c:pt idx="5">
                  <c:v>270400</c:v>
                </c:pt>
                <c:pt idx="6">
                  <c:v>290400</c:v>
                </c:pt>
                <c:pt idx="7">
                  <c:v>290400</c:v>
                </c:pt>
                <c:pt idx="8">
                  <c:v>290400</c:v>
                </c:pt>
                <c:pt idx="9">
                  <c:v>290400</c:v>
                </c:pt>
                <c:pt idx="10">
                  <c:v>360400</c:v>
                </c:pt>
                <c:pt idx="11">
                  <c:v>360400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054765472"/>
        <c:axId val="2054767104"/>
      </c:barChart>
      <c:catAx>
        <c:axId val="205476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54767104"/>
        <c:crosses val="autoZero"/>
        <c:auto val="1"/>
        <c:lblAlgn val="ctr"/>
        <c:lblOffset val="100"/>
        <c:noMultiLvlLbl val="0"/>
      </c:catAx>
      <c:valAx>
        <c:axId val="2054767104"/>
        <c:scaling>
          <c:orientation val="minMax"/>
        </c:scaling>
        <c:delete val="1"/>
        <c:axPos val="l"/>
        <c:numFmt formatCode="_(&quot;S/.&quot;* #,##0.00_);_(&quot;S/.&quot;* \(#,##0.00\);_(&quot;S/.&quot;* &quot;-&quot;??_);_(@_)" sourceLinked="1"/>
        <c:majorTickMark val="none"/>
        <c:minorTickMark val="none"/>
        <c:tickLblPos val="nextTo"/>
        <c:crossAx val="205476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Evolución de las Utilidades Netas Mensuales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FF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movingAvg"/>
            <c:period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movingAvg"/>
            <c:period val="2"/>
            <c:dispRSqr val="0"/>
            <c:dispEq val="0"/>
          </c:trendline>
          <c:val>
            <c:numRef>
              <c:f>EE.GG.PP.!$B$19:$M$19</c:f>
              <c:numCache>
                <c:formatCode>_("S/."* #,##0.00_);_("S/."* \(#,##0.00\);_("S/."* "-"??_);_(@_)</c:formatCode>
                <c:ptCount val="12"/>
                <c:pt idx="0">
                  <c:v>812.4044894753481</c:v>
                </c:pt>
                <c:pt idx="1">
                  <c:v>935.39448947535629</c:v>
                </c:pt>
                <c:pt idx="2">
                  <c:v>6327.7744894753523</c:v>
                </c:pt>
                <c:pt idx="3">
                  <c:v>10404.71448947534</c:v>
                </c:pt>
                <c:pt idx="4">
                  <c:v>11469.764489475339</c:v>
                </c:pt>
                <c:pt idx="5">
                  <c:v>17835.144489475337</c:v>
                </c:pt>
                <c:pt idx="6">
                  <c:v>20048.894489475337</c:v>
                </c:pt>
                <c:pt idx="7">
                  <c:v>20048.894489475337</c:v>
                </c:pt>
                <c:pt idx="8">
                  <c:v>20048.894489475337</c:v>
                </c:pt>
                <c:pt idx="9">
                  <c:v>20048.894489475337</c:v>
                </c:pt>
                <c:pt idx="10">
                  <c:v>25381.844489475316</c:v>
                </c:pt>
                <c:pt idx="11">
                  <c:v>25381.844489475316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54768736"/>
        <c:axId val="2054764384"/>
      </c:barChart>
      <c:catAx>
        <c:axId val="20547687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54764384"/>
        <c:crosses val="autoZero"/>
        <c:auto val="1"/>
        <c:lblAlgn val="ctr"/>
        <c:lblOffset val="100"/>
        <c:noMultiLvlLbl val="0"/>
      </c:catAx>
      <c:valAx>
        <c:axId val="205476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S/.&quot;* #,##0.00_);_(&quot;S/.&quot;* \(#,##0.00\);_(&quot;S/.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5476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1</xdr:row>
      <xdr:rowOff>23813</xdr:rowOff>
    </xdr:from>
    <xdr:to>
      <xdr:col>3</xdr:col>
      <xdr:colOff>23813</xdr:colOff>
      <xdr:row>4</xdr:row>
      <xdr:rowOff>178594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8" t="41623" r="5104" b="24074"/>
        <a:stretch/>
      </xdr:blipFill>
      <xdr:spPr bwMode="auto">
        <a:xfrm>
          <a:off x="547688" y="214313"/>
          <a:ext cx="2917031" cy="7262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31</xdr:row>
      <xdr:rowOff>66675</xdr:rowOff>
    </xdr:from>
    <xdr:to>
      <xdr:col>12</xdr:col>
      <xdr:colOff>914400</xdr:colOff>
      <xdr:row>47</xdr:row>
      <xdr:rowOff>157162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26</xdr:row>
      <xdr:rowOff>42861</xdr:rowOff>
    </xdr:from>
    <xdr:to>
      <xdr:col>3</xdr:col>
      <xdr:colOff>762000</xdr:colOff>
      <xdr:row>47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1000125</xdr:colOff>
      <xdr:row>28</xdr:row>
      <xdr:rowOff>180975</xdr:rowOff>
    </xdr:from>
    <xdr:to>
      <xdr:col>8</xdr:col>
      <xdr:colOff>276225</xdr:colOff>
      <xdr:row>47</xdr:row>
      <xdr:rowOff>166687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154782</xdr:colOff>
      <xdr:row>0</xdr:row>
      <xdr:rowOff>166687</xdr:rowOff>
    </xdr:from>
    <xdr:to>
      <xdr:col>1</xdr:col>
      <xdr:colOff>845344</xdr:colOff>
      <xdr:row>4</xdr:row>
      <xdr:rowOff>130968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8" t="41623" r="5104" b="24074"/>
        <a:stretch/>
      </xdr:blipFill>
      <xdr:spPr bwMode="auto">
        <a:xfrm>
          <a:off x="154782" y="166687"/>
          <a:ext cx="2917031" cy="7262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119063</xdr:rowOff>
    </xdr:from>
    <xdr:to>
      <xdr:col>1</xdr:col>
      <xdr:colOff>1012031</xdr:colOff>
      <xdr:row>4</xdr:row>
      <xdr:rowOff>83344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8" t="41623" r="5104" b="24074"/>
        <a:stretch/>
      </xdr:blipFill>
      <xdr:spPr bwMode="auto">
        <a:xfrm>
          <a:off x="190500" y="119063"/>
          <a:ext cx="2917031" cy="7262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640556</xdr:colOff>
      <xdr:row>3</xdr:row>
      <xdr:rowOff>154781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8" t="41623" r="5104" b="24074"/>
        <a:stretch/>
      </xdr:blipFill>
      <xdr:spPr bwMode="auto">
        <a:xfrm>
          <a:off x="771525" y="0"/>
          <a:ext cx="2917031" cy="7262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9</xdr:row>
      <xdr:rowOff>50592</xdr:rowOff>
    </xdr:from>
    <xdr:to>
      <xdr:col>7</xdr:col>
      <xdr:colOff>228600</xdr:colOff>
      <xdr:row>13</xdr:row>
      <xdr:rowOff>155991</xdr:rowOff>
    </xdr:to>
    <xdr:pic>
      <xdr:nvPicPr>
        <xdr:cNvPr id="2" name="Imagen 2" descr="http://www.calderondelabruja.com/wp-content/uploads/2012/08/logo-C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822242"/>
          <a:ext cx="1666875" cy="86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447675</xdr:colOff>
      <xdr:row>15</xdr:row>
      <xdr:rowOff>9525</xdr:rowOff>
    </xdr:from>
    <xdr:to>
      <xdr:col>8</xdr:col>
      <xdr:colOff>657225</xdr:colOff>
      <xdr:row>17</xdr:row>
      <xdr:rowOff>180975</xdr:rowOff>
    </xdr:to>
    <xdr:sp macro="" textlink="">
      <xdr:nvSpPr>
        <xdr:cNvPr id="4" name="3 CuadroTexto"/>
        <xdr:cNvSpPr txBox="1">
          <a:spLocks noChangeArrowheads="1"/>
        </xdr:cNvSpPr>
      </xdr:nvSpPr>
      <xdr:spPr bwMode="auto">
        <a:xfrm>
          <a:off x="5924550" y="2352675"/>
          <a:ext cx="2743200" cy="561975"/>
        </a:xfrm>
        <a:prstGeom prst="rect">
          <a:avLst/>
        </a:prstGeom>
        <a:noFill/>
        <a:ln>
          <a:noFill/>
        </a:ln>
        <a:extLst/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r>
            <a:rPr lang="es-PE" altLang="es-PE" sz="1100" b="1"/>
            <a:t>cuota = Préstamo * </a:t>
          </a:r>
          <a:r>
            <a:rPr lang="es-PE" altLang="es-PE" sz="1100" b="1" u="sng"/>
            <a:t>  i*(1+i)</a:t>
          </a:r>
          <a:r>
            <a:rPr lang="es-PE" altLang="es-PE" sz="1100" b="1" u="sng" baseline="30000"/>
            <a:t>n   </a:t>
          </a:r>
        </a:p>
        <a:p>
          <a:pPr eaLnBrk="1" hangingPunct="1"/>
          <a:r>
            <a:rPr lang="es-PE" altLang="es-PE" sz="1100" b="1"/>
            <a:t>	</a:t>
          </a:r>
          <a:r>
            <a:rPr lang="es-PE" altLang="es-PE" sz="1100" b="1" baseline="0"/>
            <a:t>          </a:t>
          </a:r>
          <a:r>
            <a:rPr lang="es-PE" altLang="es-PE" sz="1100" b="1"/>
            <a:t>(1+i)</a:t>
          </a:r>
          <a:r>
            <a:rPr lang="es-PE" altLang="es-PE" sz="1100" b="1" baseline="30000"/>
            <a:t>n</a:t>
          </a:r>
          <a:r>
            <a:rPr lang="es-PE" altLang="es-PE" sz="1100" b="1"/>
            <a:t> - 1</a:t>
          </a:r>
        </a:p>
      </xdr:txBody>
    </xdr:sp>
    <xdr:clientData/>
  </xdr:twoCellAnchor>
  <xdr:twoCellAnchor editAs="oneCell">
    <xdr:from>
      <xdr:col>1</xdr:col>
      <xdr:colOff>9525</xdr:colOff>
      <xdr:row>1</xdr:row>
      <xdr:rowOff>19050</xdr:rowOff>
    </xdr:from>
    <xdr:to>
      <xdr:col>3</xdr:col>
      <xdr:colOff>973931</xdr:colOff>
      <xdr:row>4</xdr:row>
      <xdr:rowOff>173831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8" t="41623" r="5104" b="24074"/>
        <a:stretch/>
      </xdr:blipFill>
      <xdr:spPr bwMode="auto">
        <a:xfrm>
          <a:off x="466725" y="209550"/>
          <a:ext cx="2917031" cy="7262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137585</xdr:rowOff>
    </xdr:from>
    <xdr:to>
      <xdr:col>3</xdr:col>
      <xdr:colOff>1318947</xdr:colOff>
      <xdr:row>4</xdr:row>
      <xdr:rowOff>101866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8" t="41623" r="5104" b="24074"/>
        <a:stretch/>
      </xdr:blipFill>
      <xdr:spPr bwMode="auto">
        <a:xfrm>
          <a:off x="169333" y="137585"/>
          <a:ext cx="2917031" cy="7262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138906</xdr:colOff>
      <xdr:row>25</xdr:row>
      <xdr:rowOff>10582</xdr:rowOff>
    </xdr:from>
    <xdr:to>
      <xdr:col>2</xdr:col>
      <xdr:colOff>1906700</xdr:colOff>
      <xdr:row>30</xdr:row>
      <xdr:rowOff>220899</xdr:rowOff>
    </xdr:to>
    <xdr:pic>
      <xdr:nvPicPr>
        <xdr:cNvPr id="3" name="Imagen 2" descr="https://cdn.exceltotal.com/wp-content/uploads/2014/03/punto-de-equilibrio-en-excel-0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50" y="7523426"/>
          <a:ext cx="1767794" cy="12342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275167</xdr:colOff>
      <xdr:row>25</xdr:row>
      <xdr:rowOff>179916</xdr:rowOff>
    </xdr:from>
    <xdr:to>
      <xdr:col>10</xdr:col>
      <xdr:colOff>179917</xdr:colOff>
      <xdr:row>30</xdr:row>
      <xdr:rowOff>210350</xdr:rowOff>
    </xdr:to>
    <xdr:pic>
      <xdr:nvPicPr>
        <xdr:cNvPr id="4" name="Imagen 3" descr="https://image.jimcdn.com/app/cms/image/transf/none/path/s075f076504dfea8d/image/i6f68de276df5c4f2/version/1400379293/image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1108"/>
        <a:stretch/>
      </xdr:blipFill>
      <xdr:spPr bwMode="auto">
        <a:xfrm>
          <a:off x="9429750" y="7757583"/>
          <a:ext cx="3365500" cy="10570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2748643</xdr:colOff>
      <xdr:row>5</xdr:row>
      <xdr:rowOff>40821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8" t="41623" r="5104" b="24074"/>
        <a:stretch/>
      </xdr:blipFill>
      <xdr:spPr bwMode="auto">
        <a:xfrm>
          <a:off x="394607" y="190500"/>
          <a:ext cx="3401786" cy="80282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1320</xdr:colOff>
      <xdr:row>34</xdr:row>
      <xdr:rowOff>35719</xdr:rowOff>
    </xdr:from>
    <xdr:to>
      <xdr:col>7</xdr:col>
      <xdr:colOff>1154905</xdr:colOff>
      <xdr:row>61</xdr:row>
      <xdr:rowOff>72495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119064</xdr:rowOff>
    </xdr:from>
    <xdr:to>
      <xdr:col>3</xdr:col>
      <xdr:colOff>916781</xdr:colOff>
      <xdr:row>4</xdr:row>
      <xdr:rowOff>83345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8" t="41623" r="5104" b="24074"/>
        <a:stretch/>
      </xdr:blipFill>
      <xdr:spPr bwMode="auto">
        <a:xfrm>
          <a:off x="642938" y="119064"/>
          <a:ext cx="2917031" cy="7262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40823</xdr:colOff>
      <xdr:row>0</xdr:row>
      <xdr:rowOff>149678</xdr:rowOff>
    </xdr:from>
    <xdr:to>
      <xdr:col>0</xdr:col>
      <xdr:colOff>2808175</xdr:colOff>
      <xdr:row>4</xdr:row>
      <xdr:rowOff>113959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8" t="41623" r="5104" b="24074"/>
        <a:stretch/>
      </xdr:blipFill>
      <xdr:spPr bwMode="auto">
        <a:xfrm>
          <a:off x="40823" y="149678"/>
          <a:ext cx="2767352" cy="7262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127000</xdr:rowOff>
    </xdr:from>
    <xdr:to>
      <xdr:col>1</xdr:col>
      <xdr:colOff>123031</xdr:colOff>
      <xdr:row>4</xdr:row>
      <xdr:rowOff>91281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8" t="41623" r="5104" b="24074"/>
        <a:stretch/>
      </xdr:blipFill>
      <xdr:spPr bwMode="auto">
        <a:xfrm>
          <a:off x="63500" y="127000"/>
          <a:ext cx="2917031" cy="7262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152400</xdr:rowOff>
    </xdr:from>
    <xdr:to>
      <xdr:col>3</xdr:col>
      <xdr:colOff>211931</xdr:colOff>
      <xdr:row>4</xdr:row>
      <xdr:rowOff>116681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8" t="41623" r="5104" b="24074"/>
        <a:stretch/>
      </xdr:blipFill>
      <xdr:spPr bwMode="auto">
        <a:xfrm>
          <a:off x="1009650" y="152400"/>
          <a:ext cx="2917031" cy="7262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96"/>
  <sheetViews>
    <sheetView tabSelected="1" topLeftCell="A68" zoomScale="90" zoomScaleNormal="90" workbookViewId="0">
      <selection activeCell="I56" sqref="I56"/>
    </sheetView>
  </sheetViews>
  <sheetFormatPr baseColWidth="10" defaultRowHeight="15" x14ac:dyDescent="0.25"/>
  <cols>
    <col min="1" max="1" width="7.7109375" customWidth="1"/>
    <col min="3" max="3" width="32.5703125" customWidth="1"/>
    <col min="4" max="4" width="17.42578125" customWidth="1"/>
    <col min="5" max="5" width="22.140625" customWidth="1"/>
    <col min="6" max="6" width="16.42578125" customWidth="1"/>
    <col min="9" max="9" width="15.7109375" customWidth="1"/>
    <col min="10" max="10" width="14.85546875" customWidth="1"/>
    <col min="11" max="11" width="18.42578125" customWidth="1"/>
  </cols>
  <sheetData>
    <row r="7" spans="2:5" ht="22.5" customHeight="1" x14ac:dyDescent="0.3">
      <c r="B7" s="275" t="s">
        <v>4</v>
      </c>
      <c r="C7" s="275"/>
      <c r="D7" s="275"/>
      <c r="E7" s="275"/>
    </row>
    <row r="8" spans="2:5" x14ac:dyDescent="0.25">
      <c r="B8" s="274" t="s">
        <v>5</v>
      </c>
      <c r="C8" s="274"/>
      <c r="D8" s="274"/>
      <c r="E8" s="274"/>
    </row>
    <row r="9" spans="2:5" x14ac:dyDescent="0.25">
      <c r="B9" s="6" t="s">
        <v>0</v>
      </c>
      <c r="C9" s="6" t="s">
        <v>1</v>
      </c>
      <c r="D9" s="6" t="s">
        <v>2</v>
      </c>
      <c r="E9" s="6" t="s">
        <v>3</v>
      </c>
    </row>
    <row r="10" spans="2:5" x14ac:dyDescent="0.25">
      <c r="B10" s="2">
        <v>7</v>
      </c>
      <c r="C10" s="1" t="s">
        <v>6</v>
      </c>
      <c r="D10" s="3">
        <v>1800</v>
      </c>
      <c r="E10" s="4">
        <f>D10*B10</f>
        <v>12600</v>
      </c>
    </row>
    <row r="11" spans="2:5" x14ac:dyDescent="0.25">
      <c r="B11" s="2">
        <v>7</v>
      </c>
      <c r="C11" s="1" t="s">
        <v>14</v>
      </c>
      <c r="D11" s="5">
        <v>400</v>
      </c>
      <c r="E11" s="4">
        <f t="shared" ref="E11:E23" si="0">D11*B11</f>
        <v>2800</v>
      </c>
    </row>
    <row r="12" spans="2:5" x14ac:dyDescent="0.25">
      <c r="B12" s="2">
        <v>2</v>
      </c>
      <c r="C12" s="1" t="s">
        <v>19</v>
      </c>
      <c r="D12" s="3">
        <v>4000</v>
      </c>
      <c r="E12" s="4">
        <f t="shared" si="0"/>
        <v>8000</v>
      </c>
    </row>
    <row r="13" spans="2:5" x14ac:dyDescent="0.25">
      <c r="B13" s="2">
        <v>7</v>
      </c>
      <c r="C13" s="1" t="s">
        <v>8</v>
      </c>
      <c r="D13" s="3">
        <v>400</v>
      </c>
      <c r="E13" s="4">
        <f t="shared" si="0"/>
        <v>2800</v>
      </c>
    </row>
    <row r="14" spans="2:5" x14ac:dyDescent="0.25">
      <c r="B14" s="2">
        <v>7</v>
      </c>
      <c r="C14" s="1" t="s">
        <v>7</v>
      </c>
      <c r="D14" s="3">
        <v>250</v>
      </c>
      <c r="E14" s="4">
        <f t="shared" si="0"/>
        <v>1750</v>
      </c>
    </row>
    <row r="15" spans="2:5" x14ac:dyDescent="0.25">
      <c r="B15" s="2">
        <v>20</v>
      </c>
      <c r="C15" s="1" t="s">
        <v>9</v>
      </c>
      <c r="D15" s="3">
        <v>100</v>
      </c>
      <c r="E15" s="4">
        <f t="shared" si="0"/>
        <v>2000</v>
      </c>
    </row>
    <row r="16" spans="2:5" x14ac:dyDescent="0.25">
      <c r="B16" s="2">
        <v>2</v>
      </c>
      <c r="C16" s="1" t="s">
        <v>10</v>
      </c>
      <c r="D16" s="3">
        <v>350</v>
      </c>
      <c r="E16" s="4">
        <f t="shared" si="0"/>
        <v>700</v>
      </c>
    </row>
    <row r="17" spans="2:5" x14ac:dyDescent="0.25">
      <c r="B17" s="2">
        <v>7</v>
      </c>
      <c r="C17" s="1" t="s">
        <v>11</v>
      </c>
      <c r="D17" s="3">
        <v>200</v>
      </c>
      <c r="E17" s="4">
        <f t="shared" si="0"/>
        <v>1400</v>
      </c>
    </row>
    <row r="18" spans="2:5" x14ac:dyDescent="0.25">
      <c r="B18" s="2">
        <v>1</v>
      </c>
      <c r="C18" s="1" t="s">
        <v>12</v>
      </c>
      <c r="D18" s="3">
        <v>800</v>
      </c>
      <c r="E18" s="4">
        <f t="shared" si="0"/>
        <v>800</v>
      </c>
    </row>
    <row r="19" spans="2:5" x14ac:dyDescent="0.25">
      <c r="B19" s="2">
        <v>1</v>
      </c>
      <c r="C19" s="1" t="s">
        <v>13</v>
      </c>
      <c r="D19" s="3">
        <v>1400</v>
      </c>
      <c r="E19" s="4">
        <f t="shared" si="0"/>
        <v>1400</v>
      </c>
    </row>
    <row r="20" spans="2:5" x14ac:dyDescent="0.25">
      <c r="B20" s="2">
        <v>2</v>
      </c>
      <c r="C20" s="1" t="s">
        <v>17</v>
      </c>
      <c r="D20" s="3">
        <v>600</v>
      </c>
      <c r="E20" s="4">
        <f t="shared" si="0"/>
        <v>1200</v>
      </c>
    </row>
    <row r="21" spans="2:5" x14ac:dyDescent="0.25">
      <c r="B21" s="2">
        <v>1</v>
      </c>
      <c r="C21" s="1" t="s">
        <v>18</v>
      </c>
      <c r="D21" s="3">
        <v>1200</v>
      </c>
      <c r="E21" s="4">
        <f t="shared" si="0"/>
        <v>1200</v>
      </c>
    </row>
    <row r="22" spans="2:5" x14ac:dyDescent="0.25">
      <c r="B22" s="2">
        <v>1</v>
      </c>
      <c r="C22" s="1" t="s">
        <v>15</v>
      </c>
      <c r="D22" s="3">
        <v>800</v>
      </c>
      <c r="E22" s="4">
        <f t="shared" si="0"/>
        <v>800</v>
      </c>
    </row>
    <row r="23" spans="2:5" x14ac:dyDescent="0.25">
      <c r="B23" s="2">
        <v>2</v>
      </c>
      <c r="C23" s="1" t="s">
        <v>16</v>
      </c>
      <c r="D23" s="3">
        <v>180</v>
      </c>
      <c r="E23" s="4">
        <f t="shared" si="0"/>
        <v>360</v>
      </c>
    </row>
    <row r="24" spans="2:5" x14ac:dyDescent="0.25">
      <c r="B24" s="276" t="s">
        <v>20</v>
      </c>
      <c r="C24" s="276"/>
      <c r="D24" s="276"/>
      <c r="E24" s="7">
        <f>SUM(E10:E23)</f>
        <v>37810</v>
      </c>
    </row>
    <row r="29" spans="2:5" x14ac:dyDescent="0.25">
      <c r="B29" s="266" t="s">
        <v>21</v>
      </c>
      <c r="C29" s="266"/>
      <c r="D29" s="266"/>
      <c r="E29" s="266"/>
    </row>
    <row r="30" spans="2:5" x14ac:dyDescent="0.25">
      <c r="B30" s="6" t="s">
        <v>23</v>
      </c>
      <c r="C30" s="6" t="s">
        <v>1</v>
      </c>
      <c r="D30" s="6" t="s">
        <v>2</v>
      </c>
      <c r="E30" s="6" t="s">
        <v>3</v>
      </c>
    </row>
    <row r="31" spans="2:5" x14ac:dyDescent="0.25">
      <c r="B31" s="2">
        <v>1</v>
      </c>
      <c r="C31" s="1" t="s">
        <v>180</v>
      </c>
      <c r="D31" s="3">
        <v>16</v>
      </c>
      <c r="E31" s="4">
        <f>D31*B31</f>
        <v>16</v>
      </c>
    </row>
    <row r="32" spans="2:5" x14ac:dyDescent="0.25">
      <c r="B32" s="2">
        <v>1</v>
      </c>
      <c r="C32" s="1" t="s">
        <v>22</v>
      </c>
      <c r="D32" s="5">
        <v>200</v>
      </c>
      <c r="E32" s="4">
        <f t="shared" ref="E32:E38" si="1">D32*B32</f>
        <v>200</v>
      </c>
    </row>
    <row r="33" spans="2:6" x14ac:dyDescent="0.25">
      <c r="B33" s="2">
        <v>1</v>
      </c>
      <c r="C33" s="1" t="s">
        <v>24</v>
      </c>
      <c r="D33" s="3">
        <v>300</v>
      </c>
      <c r="E33" s="4">
        <f t="shared" si="1"/>
        <v>300</v>
      </c>
    </row>
    <row r="34" spans="2:6" x14ac:dyDescent="0.25">
      <c r="B34" s="2">
        <v>1</v>
      </c>
      <c r="C34" s="1" t="s">
        <v>25</v>
      </c>
      <c r="D34" s="3">
        <v>500</v>
      </c>
      <c r="E34" s="4">
        <f t="shared" si="1"/>
        <v>500</v>
      </c>
    </row>
    <row r="35" spans="2:6" x14ac:dyDescent="0.25">
      <c r="B35" s="2">
        <v>1</v>
      </c>
      <c r="C35" s="1" t="s">
        <v>26</v>
      </c>
      <c r="D35" s="3">
        <v>0</v>
      </c>
      <c r="E35" s="4">
        <f t="shared" si="1"/>
        <v>0</v>
      </c>
    </row>
    <row r="36" spans="2:6" x14ac:dyDescent="0.25">
      <c r="B36" s="2">
        <v>1</v>
      </c>
      <c r="C36" s="1" t="s">
        <v>27</v>
      </c>
      <c r="D36" s="3">
        <v>400</v>
      </c>
      <c r="E36" s="4">
        <f t="shared" si="1"/>
        <v>400</v>
      </c>
    </row>
    <row r="37" spans="2:6" x14ac:dyDescent="0.25">
      <c r="B37" s="2">
        <v>1</v>
      </c>
      <c r="C37" s="1" t="s">
        <v>28</v>
      </c>
      <c r="D37" s="3">
        <v>350</v>
      </c>
      <c r="E37" s="4">
        <f t="shared" si="1"/>
        <v>350</v>
      </c>
    </row>
    <row r="38" spans="2:6" x14ac:dyDescent="0.25">
      <c r="B38" s="2">
        <v>1</v>
      </c>
      <c r="C38" s="1" t="s">
        <v>29</v>
      </c>
      <c r="D38" s="3">
        <v>1500</v>
      </c>
      <c r="E38" s="4">
        <f t="shared" si="1"/>
        <v>1500</v>
      </c>
    </row>
    <row r="39" spans="2:6" x14ac:dyDescent="0.25">
      <c r="B39" s="276" t="s">
        <v>30</v>
      </c>
      <c r="C39" s="276"/>
      <c r="D39" s="276"/>
      <c r="E39" s="7">
        <f>SUM(E31:E38)</f>
        <v>3266</v>
      </c>
    </row>
    <row r="41" spans="2:6" ht="18.75" x14ac:dyDescent="0.3">
      <c r="B41" s="233" t="s">
        <v>31</v>
      </c>
      <c r="C41" s="233"/>
      <c r="D41" s="233"/>
      <c r="E41" s="9">
        <f>E24+E39</f>
        <v>41076</v>
      </c>
    </row>
    <row r="47" spans="2:6" ht="18.75" x14ac:dyDescent="0.3">
      <c r="B47" s="273" t="s">
        <v>242</v>
      </c>
      <c r="C47" s="273"/>
      <c r="D47" s="273"/>
      <c r="E47" s="273"/>
      <c r="F47" s="273"/>
    </row>
    <row r="48" spans="2:6" x14ac:dyDescent="0.25">
      <c r="B48" s="258" t="s">
        <v>244</v>
      </c>
      <c r="C48" s="258"/>
      <c r="D48" s="258"/>
      <c r="E48" s="12" t="s">
        <v>33</v>
      </c>
      <c r="F48" s="16" t="s">
        <v>34</v>
      </c>
    </row>
    <row r="49" spans="2:6" x14ac:dyDescent="0.25">
      <c r="B49" s="237" t="s">
        <v>35</v>
      </c>
      <c r="C49" s="238"/>
      <c r="D49" s="239"/>
      <c r="E49" s="10">
        <v>1200</v>
      </c>
      <c r="F49" s="15">
        <f>E49*12</f>
        <v>14400</v>
      </c>
    </row>
    <row r="50" spans="2:6" x14ac:dyDescent="0.25">
      <c r="B50" s="237" t="s">
        <v>36</v>
      </c>
      <c r="C50" s="238"/>
      <c r="D50" s="239"/>
      <c r="E50" s="10">
        <v>200</v>
      </c>
      <c r="F50" s="15">
        <f t="shared" ref="F50:F55" si="2">E50*12</f>
        <v>2400</v>
      </c>
    </row>
    <row r="51" spans="2:6" x14ac:dyDescent="0.25">
      <c r="B51" s="237" t="s">
        <v>37</v>
      </c>
      <c r="C51" s="238"/>
      <c r="D51" s="239"/>
      <c r="E51" s="10">
        <v>150</v>
      </c>
      <c r="F51" s="15">
        <f t="shared" si="2"/>
        <v>1800</v>
      </c>
    </row>
    <row r="52" spans="2:6" x14ac:dyDescent="0.25">
      <c r="B52" s="237" t="s">
        <v>39</v>
      </c>
      <c r="C52" s="238"/>
      <c r="D52" s="239"/>
      <c r="E52" s="10">
        <v>450</v>
      </c>
      <c r="F52" s="15">
        <f t="shared" si="2"/>
        <v>5400</v>
      </c>
    </row>
    <row r="53" spans="2:6" x14ac:dyDescent="0.25">
      <c r="B53" s="237" t="s">
        <v>38</v>
      </c>
      <c r="C53" s="238"/>
      <c r="D53" s="239"/>
      <c r="E53" s="10">
        <v>250</v>
      </c>
      <c r="F53" s="15">
        <f t="shared" ref="F53:F54" si="3">E53*12</f>
        <v>3000</v>
      </c>
    </row>
    <row r="54" spans="2:6" x14ac:dyDescent="0.25">
      <c r="B54" s="237" t="s">
        <v>230</v>
      </c>
      <c r="C54" s="238"/>
      <c r="D54" s="239"/>
      <c r="E54" s="10">
        <v>2000</v>
      </c>
      <c r="F54" s="15">
        <f t="shared" si="3"/>
        <v>24000</v>
      </c>
    </row>
    <row r="55" spans="2:6" x14ac:dyDescent="0.25">
      <c r="B55" s="237" t="s">
        <v>181</v>
      </c>
      <c r="C55" s="238"/>
      <c r="D55" s="239"/>
      <c r="E55" s="10">
        <v>400</v>
      </c>
      <c r="F55" s="15">
        <f t="shared" si="2"/>
        <v>4800</v>
      </c>
    </row>
    <row r="56" spans="2:6" x14ac:dyDescent="0.25">
      <c r="B56" s="259" t="s">
        <v>245</v>
      </c>
      <c r="C56" s="258"/>
      <c r="D56" s="260"/>
      <c r="E56" s="62" t="s">
        <v>97</v>
      </c>
      <c r="F56" s="14"/>
    </row>
    <row r="57" spans="2:6" x14ac:dyDescent="0.25">
      <c r="B57" s="237" t="s">
        <v>41</v>
      </c>
      <c r="C57" s="238"/>
      <c r="D57" s="239"/>
      <c r="E57" s="10">
        <f>RRHH!J12</f>
        <v>2398</v>
      </c>
      <c r="F57" s="15">
        <f>E57*12</f>
        <v>28776</v>
      </c>
    </row>
    <row r="58" spans="2:6" x14ac:dyDescent="0.25">
      <c r="B58" s="237" t="s">
        <v>42</v>
      </c>
      <c r="C58" s="238"/>
      <c r="D58" s="239"/>
      <c r="E58" s="10">
        <f>RRHH!J13</f>
        <v>2398</v>
      </c>
      <c r="F58" s="15">
        <f t="shared" ref="F58:F60" si="4">E58*12</f>
        <v>28776</v>
      </c>
    </row>
    <row r="59" spans="2:6" x14ac:dyDescent="0.25">
      <c r="B59" s="237" t="s">
        <v>229</v>
      </c>
      <c r="C59" s="238"/>
      <c r="D59" s="239"/>
      <c r="E59" s="10">
        <f>RRHH!J14</f>
        <v>3052</v>
      </c>
      <c r="F59" s="15">
        <f t="shared" si="4"/>
        <v>36624</v>
      </c>
    </row>
    <row r="60" spans="2:6" x14ac:dyDescent="0.25">
      <c r="B60" s="237" t="s">
        <v>43</v>
      </c>
      <c r="C60" s="238"/>
      <c r="D60" s="239"/>
      <c r="E60" s="10">
        <f>RRHH!J15</f>
        <v>1962</v>
      </c>
      <c r="F60" s="15">
        <f t="shared" si="4"/>
        <v>23544</v>
      </c>
    </row>
    <row r="61" spans="2:6" ht="15.75" x14ac:dyDescent="0.25">
      <c r="B61" s="234" t="s">
        <v>247</v>
      </c>
      <c r="C61" s="235"/>
      <c r="D61" s="236"/>
      <c r="E61" s="143">
        <f>SUM(E49+E50+E51+E52+E53+E54+E55+E57+E58+E59+E60)</f>
        <v>14460</v>
      </c>
      <c r="F61" s="143">
        <f>SUM(F49+F50+F51+F52+F53+F54+F55+F57+F58+F59+F60)</f>
        <v>173520</v>
      </c>
    </row>
    <row r="62" spans="2:6" x14ac:dyDescent="0.25">
      <c r="B62" s="144"/>
      <c r="C62" s="145"/>
      <c r="D62" s="146"/>
      <c r="E62" s="147"/>
      <c r="F62" s="147"/>
    </row>
    <row r="63" spans="2:6" x14ac:dyDescent="0.25">
      <c r="B63" s="270" t="s">
        <v>246</v>
      </c>
      <c r="C63" s="271"/>
      <c r="D63" s="272"/>
      <c r="E63" s="62" t="s">
        <v>97</v>
      </c>
      <c r="F63" s="14"/>
    </row>
    <row r="64" spans="2:6" x14ac:dyDescent="0.25">
      <c r="B64" s="237" t="s">
        <v>44</v>
      </c>
      <c r="C64" s="238"/>
      <c r="D64" s="239"/>
      <c r="E64" s="10">
        <f>RRHH!J22</f>
        <v>2180</v>
      </c>
      <c r="F64" s="15">
        <f>E64*12</f>
        <v>26160</v>
      </c>
    </row>
    <row r="65" spans="2:6" x14ac:dyDescent="0.25">
      <c r="B65" s="237" t="s">
        <v>45</v>
      </c>
      <c r="C65" s="238"/>
      <c r="D65" s="239"/>
      <c r="E65" s="10">
        <f>RRHH!J23</f>
        <v>1635</v>
      </c>
      <c r="F65" s="15">
        <f t="shared" ref="F65:F67" si="5">E65*12</f>
        <v>19620</v>
      </c>
    </row>
    <row r="66" spans="2:6" x14ac:dyDescent="0.25">
      <c r="B66" s="237" t="s">
        <v>46</v>
      </c>
      <c r="C66" s="238"/>
      <c r="D66" s="239"/>
      <c r="E66" s="10">
        <f>RRHH!J24</f>
        <v>926.5</v>
      </c>
      <c r="F66" s="15">
        <f t="shared" si="5"/>
        <v>11118</v>
      </c>
    </row>
    <row r="67" spans="2:6" x14ac:dyDescent="0.25">
      <c r="B67" s="237" t="s">
        <v>166</v>
      </c>
      <c r="C67" s="238"/>
      <c r="D67" s="239"/>
      <c r="E67" s="10">
        <v>400</v>
      </c>
      <c r="F67" s="15">
        <f t="shared" si="5"/>
        <v>4800</v>
      </c>
    </row>
    <row r="68" spans="2:6" x14ac:dyDescent="0.25">
      <c r="B68" s="270" t="s">
        <v>248</v>
      </c>
      <c r="C68" s="271"/>
      <c r="D68" s="272"/>
      <c r="E68" s="10"/>
      <c r="F68" s="14"/>
    </row>
    <row r="69" spans="2:6" x14ac:dyDescent="0.25">
      <c r="B69" s="237" t="s">
        <v>40</v>
      </c>
      <c r="C69" s="238"/>
      <c r="D69" s="239"/>
      <c r="E69" s="142">
        <v>1000</v>
      </c>
      <c r="F69" s="15">
        <f>E69*12</f>
        <v>12000</v>
      </c>
    </row>
    <row r="70" spans="2:6" x14ac:dyDescent="0.25">
      <c r="B70" s="249" t="s">
        <v>250</v>
      </c>
      <c r="C70" s="250"/>
      <c r="D70" s="250"/>
      <c r="E70" s="150">
        <f>SUM(E64:E69)</f>
        <v>6141.5</v>
      </c>
      <c r="F70" s="150">
        <f>SUM(F64:F69)</f>
        <v>73698</v>
      </c>
    </row>
    <row r="71" spans="2:6" x14ac:dyDescent="0.25">
      <c r="B71" s="254"/>
      <c r="C71" s="254"/>
      <c r="D71" s="254"/>
      <c r="E71" s="116"/>
      <c r="F71" s="116"/>
    </row>
    <row r="72" spans="2:6" x14ac:dyDescent="0.25">
      <c r="B72" s="251" t="s">
        <v>249</v>
      </c>
      <c r="C72" s="252"/>
      <c r="D72" s="253"/>
      <c r="E72" s="148"/>
      <c r="F72" s="149"/>
    </row>
    <row r="73" spans="2:6" x14ac:dyDescent="0.25">
      <c r="B73" s="244" t="s">
        <v>213</v>
      </c>
      <c r="C73" s="245"/>
      <c r="D73" s="246"/>
      <c r="E73" s="142">
        <v>400</v>
      </c>
      <c r="F73" s="15">
        <f>E73*12</f>
        <v>4800</v>
      </c>
    </row>
    <row r="74" spans="2:6" x14ac:dyDescent="0.25">
      <c r="B74" s="240" t="s">
        <v>212</v>
      </c>
      <c r="C74" s="240"/>
      <c r="D74" s="240"/>
      <c r="E74" s="125">
        <v>150</v>
      </c>
      <c r="F74" s="15">
        <f t="shared" ref="F74" si="6">E74*12</f>
        <v>1800</v>
      </c>
    </row>
    <row r="75" spans="2:6" x14ac:dyDescent="0.25">
      <c r="B75" s="247" t="s">
        <v>251</v>
      </c>
      <c r="C75" s="248"/>
      <c r="D75" s="248"/>
      <c r="E75" s="152">
        <f>SUM(E73:E74)</f>
        <v>550</v>
      </c>
      <c r="F75" s="152">
        <f>SUM(F73:F74)</f>
        <v>6600</v>
      </c>
    </row>
    <row r="76" spans="2:6" x14ac:dyDescent="0.25">
      <c r="B76" s="255"/>
      <c r="C76" s="256"/>
      <c r="D76" s="257"/>
      <c r="E76" s="151"/>
      <c r="F76" s="151"/>
    </row>
    <row r="77" spans="2:6" x14ac:dyDescent="0.25">
      <c r="B77" s="241" t="s">
        <v>231</v>
      </c>
      <c r="C77" s="242"/>
      <c r="D77" s="243"/>
      <c r="E77" s="124"/>
      <c r="F77" s="155"/>
    </row>
    <row r="78" spans="2:6" x14ac:dyDescent="0.25">
      <c r="B78" s="240" t="s">
        <v>252</v>
      </c>
      <c r="C78" s="240"/>
      <c r="D78" s="240"/>
      <c r="E78" s="125">
        <f>'AMORTIZACION DE PRESTAMO'!C17</f>
        <v>1793.2138245590268</v>
      </c>
      <c r="F78" s="154">
        <f>E78*12</f>
        <v>21518.565894708321</v>
      </c>
    </row>
    <row r="79" spans="2:6" x14ac:dyDescent="0.25">
      <c r="B79" s="247" t="s">
        <v>253</v>
      </c>
      <c r="C79" s="248"/>
      <c r="D79" s="248"/>
      <c r="E79" s="152">
        <f>SUM(E76:E78)</f>
        <v>1793.2138245590268</v>
      </c>
      <c r="F79" s="152">
        <f>SUM(F76:F78)</f>
        <v>21518.565894708321</v>
      </c>
    </row>
    <row r="80" spans="2:6" x14ac:dyDescent="0.25">
      <c r="B80" s="263"/>
      <c r="C80" s="264"/>
      <c r="D80" s="265"/>
      <c r="E80" s="125"/>
      <c r="F80" s="154"/>
    </row>
    <row r="81" spans="2:6" ht="15.75" x14ac:dyDescent="0.25">
      <c r="B81" s="269" t="s">
        <v>243</v>
      </c>
      <c r="C81" s="269"/>
      <c r="D81" s="269"/>
      <c r="E81" s="8">
        <f>SUM(E61+E70+E75)</f>
        <v>21151.5</v>
      </c>
      <c r="F81" s="153">
        <f>SUM(F61+F70+F75)</f>
        <v>253818</v>
      </c>
    </row>
    <row r="84" spans="2:6" ht="18.75" x14ac:dyDescent="0.3">
      <c r="B84" s="233" t="s">
        <v>55</v>
      </c>
      <c r="C84" s="233"/>
      <c r="D84" s="233"/>
      <c r="E84" s="233"/>
      <c r="F84" s="233"/>
    </row>
    <row r="85" spans="2:6" x14ac:dyDescent="0.25">
      <c r="B85" s="267" t="s">
        <v>56</v>
      </c>
      <c r="C85" s="267"/>
      <c r="D85" s="267"/>
      <c r="E85" s="267"/>
      <c r="F85" s="267"/>
    </row>
    <row r="87" spans="2:6" ht="15.75" x14ac:dyDescent="0.25">
      <c r="B87" s="268" t="s">
        <v>47</v>
      </c>
      <c r="C87" s="268"/>
      <c r="D87" s="17" t="s">
        <v>49</v>
      </c>
      <c r="E87" s="17" t="s">
        <v>48</v>
      </c>
      <c r="F87" s="18" t="s">
        <v>50</v>
      </c>
    </row>
    <row r="88" spans="2:6" ht="15.75" x14ac:dyDescent="0.25">
      <c r="B88" s="268"/>
      <c r="C88" s="268"/>
      <c r="D88" s="19">
        <f>E41</f>
        <v>41076</v>
      </c>
      <c r="E88" s="19">
        <f>E81</f>
        <v>21151.5</v>
      </c>
      <c r="F88" s="20">
        <f>D88+E88</f>
        <v>62227.5</v>
      </c>
    </row>
    <row r="91" spans="2:6" x14ac:dyDescent="0.25">
      <c r="B91" s="266" t="s">
        <v>51</v>
      </c>
      <c r="C91" s="266"/>
      <c r="D91" s="266"/>
      <c r="E91" s="266"/>
    </row>
    <row r="92" spans="2:6" x14ac:dyDescent="0.25">
      <c r="B92" s="21" t="s">
        <v>52</v>
      </c>
      <c r="C92" s="21"/>
      <c r="D92" s="32"/>
      <c r="E92" s="33">
        <v>42277.5</v>
      </c>
    </row>
    <row r="93" spans="2:6" ht="15.75" thickBot="1" x14ac:dyDescent="0.3">
      <c r="B93" s="262" t="s">
        <v>53</v>
      </c>
      <c r="C93" s="262"/>
      <c r="D93" s="34"/>
      <c r="E93" s="35">
        <v>20000</v>
      </c>
    </row>
    <row r="94" spans="2:6" ht="16.5" thickBot="1" x14ac:dyDescent="0.3">
      <c r="B94" s="261" t="s">
        <v>54</v>
      </c>
      <c r="C94" s="261"/>
      <c r="D94" s="30"/>
      <c r="E94" s="31">
        <f>SUM(E92:E93)</f>
        <v>62277.5</v>
      </c>
    </row>
    <row r="96" spans="2:6" x14ac:dyDescent="0.25">
      <c r="B96" t="s">
        <v>211</v>
      </c>
    </row>
  </sheetData>
  <mergeCells count="46">
    <mergeCell ref="B8:E8"/>
    <mergeCell ref="B7:E7"/>
    <mergeCell ref="B24:D24"/>
    <mergeCell ref="B29:E29"/>
    <mergeCell ref="B39:D39"/>
    <mergeCell ref="B57:D57"/>
    <mergeCell ref="B58:D58"/>
    <mergeCell ref="B47:F47"/>
    <mergeCell ref="B50:D50"/>
    <mergeCell ref="B51:D51"/>
    <mergeCell ref="B52:D52"/>
    <mergeCell ref="B55:D55"/>
    <mergeCell ref="B53:D53"/>
    <mergeCell ref="B49:D49"/>
    <mergeCell ref="B68:D68"/>
    <mergeCell ref="B66:D66"/>
    <mergeCell ref="B59:D59"/>
    <mergeCell ref="B60:D60"/>
    <mergeCell ref="B63:D63"/>
    <mergeCell ref="B64:D64"/>
    <mergeCell ref="B94:C94"/>
    <mergeCell ref="B93:C93"/>
    <mergeCell ref="B79:D79"/>
    <mergeCell ref="B80:D80"/>
    <mergeCell ref="B91:E91"/>
    <mergeCell ref="B85:F85"/>
    <mergeCell ref="B84:F84"/>
    <mergeCell ref="B87:C88"/>
    <mergeCell ref="B69:D69"/>
    <mergeCell ref="B81:D81"/>
    <mergeCell ref="B41:D41"/>
    <mergeCell ref="B61:D61"/>
    <mergeCell ref="B54:D54"/>
    <mergeCell ref="B78:D78"/>
    <mergeCell ref="B77:D77"/>
    <mergeCell ref="B67:D67"/>
    <mergeCell ref="B73:D73"/>
    <mergeCell ref="B75:D75"/>
    <mergeCell ref="B70:D70"/>
    <mergeCell ref="B72:D72"/>
    <mergeCell ref="B74:D74"/>
    <mergeCell ref="B71:D71"/>
    <mergeCell ref="B76:D76"/>
    <mergeCell ref="B48:D48"/>
    <mergeCell ref="B56:D56"/>
    <mergeCell ref="B65:D65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N25"/>
  <sheetViews>
    <sheetView zoomScale="80" zoomScaleNormal="80" workbookViewId="0">
      <pane xSplit="1" topLeftCell="C1" activePane="topRight" state="frozen"/>
      <selection pane="topRight" activeCell="N19" sqref="N19"/>
    </sheetView>
  </sheetViews>
  <sheetFormatPr baseColWidth="10" defaultRowHeight="15" x14ac:dyDescent="0.25"/>
  <cols>
    <col min="1" max="1" width="33.42578125" customWidth="1"/>
    <col min="2" max="2" width="16.42578125" customWidth="1"/>
    <col min="3" max="3" width="16.28515625" customWidth="1"/>
    <col min="4" max="4" width="17.42578125" customWidth="1"/>
    <col min="5" max="6" width="16.140625" customWidth="1"/>
    <col min="7" max="7" width="17.7109375" customWidth="1"/>
    <col min="8" max="8" width="17" customWidth="1"/>
    <col min="9" max="9" width="16.5703125" customWidth="1"/>
    <col min="10" max="10" width="17.7109375" customWidth="1"/>
    <col min="11" max="11" width="16.85546875" customWidth="1"/>
    <col min="12" max="12" width="17.140625" customWidth="1"/>
    <col min="13" max="13" width="16.140625" customWidth="1"/>
    <col min="14" max="14" width="17.5703125" customWidth="1"/>
  </cols>
  <sheetData>
    <row r="6" spans="1:14" ht="18.75" x14ac:dyDescent="0.3">
      <c r="A6" s="300" t="s">
        <v>271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185"/>
    </row>
    <row r="8" spans="1:14" ht="15.75" x14ac:dyDescent="0.25">
      <c r="A8" s="174" t="s">
        <v>265</v>
      </c>
      <c r="B8" s="174" t="s">
        <v>272</v>
      </c>
      <c r="C8" s="174" t="s">
        <v>273</v>
      </c>
      <c r="D8" s="174" t="s">
        <v>274</v>
      </c>
      <c r="E8" s="174" t="s">
        <v>275</v>
      </c>
      <c r="F8" s="174" t="s">
        <v>276</v>
      </c>
      <c r="G8" s="174" t="s">
        <v>277</v>
      </c>
      <c r="H8" s="174" t="s">
        <v>278</v>
      </c>
      <c r="I8" s="174" t="s">
        <v>279</v>
      </c>
      <c r="J8" s="174" t="s">
        <v>280</v>
      </c>
      <c r="K8" s="174" t="s">
        <v>281</v>
      </c>
      <c r="L8" s="174" t="s">
        <v>282</v>
      </c>
      <c r="M8" s="174" t="s">
        <v>283</v>
      </c>
      <c r="N8" s="174" t="s">
        <v>96</v>
      </c>
    </row>
    <row r="9" spans="1:14" ht="15.75" x14ac:dyDescent="0.25">
      <c r="A9" s="80" t="s">
        <v>298</v>
      </c>
      <c r="B9" s="83">
        <f>'PROYECCIÓN DE VENTAS'!C36</f>
        <v>86500</v>
      </c>
      <c r="C9" s="83">
        <f>'PROYECCIÓN DE VENTAS'!D36</f>
        <v>94000</v>
      </c>
      <c r="D9" s="83">
        <f>'PROYECCIÓN DE VENTAS'!E36</f>
        <v>147000</v>
      </c>
      <c r="E9" s="83">
        <f>'PROYECCIÓN DE VENTAS'!F36</f>
        <v>190900</v>
      </c>
      <c r="F9" s="83">
        <f>'PROYECCIÓN DE VENTAS'!G36</f>
        <v>203400</v>
      </c>
      <c r="G9" s="83">
        <f>'PROYECCIÓN DE VENTAS'!H36</f>
        <v>270400</v>
      </c>
      <c r="H9" s="83">
        <f>'PROYECCIÓN DE VENTAS'!I36</f>
        <v>290400</v>
      </c>
      <c r="I9" s="83">
        <f>'PROYECCIÓN DE VENTAS'!J36</f>
        <v>290400</v>
      </c>
      <c r="J9" s="83">
        <f>'PROYECCIÓN DE VENTAS'!K36</f>
        <v>290400</v>
      </c>
      <c r="K9" s="83">
        <f>'PROYECCIÓN DE VENTAS'!L36</f>
        <v>290400</v>
      </c>
      <c r="L9" s="83">
        <f>'PROYECCIÓN DE VENTAS'!M36</f>
        <v>360400</v>
      </c>
      <c r="M9" s="83">
        <f>'PROYECCIÓN DE VENTAS'!N36</f>
        <v>360400</v>
      </c>
      <c r="N9" s="154">
        <f>SUM(B9:M9)</f>
        <v>2874600</v>
      </c>
    </row>
    <row r="10" spans="1:14" ht="15.75" x14ac:dyDescent="0.25">
      <c r="A10" s="80" t="s">
        <v>266</v>
      </c>
      <c r="B10" s="83">
        <f>'PRESUPUESTO DE GASTOS'!B43</f>
        <v>76067</v>
      </c>
      <c r="C10" s="83">
        <f>'PRESUPUESTO DE GASTOS'!C43</f>
        <v>83391.299999999988</v>
      </c>
      <c r="D10" s="83">
        <f>'PRESUPUESTO DE GASTOS'!D43</f>
        <v>128687.9</v>
      </c>
      <c r="E10" s="83">
        <f>'PRESUPUESTO DE GASTOS'!E43</f>
        <v>166763.70000000001</v>
      </c>
      <c r="F10" s="83">
        <f>'PRESUPUESTO DE GASTOS'!F43</f>
        <v>177742.2</v>
      </c>
      <c r="G10" s="83">
        <f>'PRESUPUESTO DE GASTOS'!G43</f>
        <v>235648.80000000002</v>
      </c>
      <c r="H10" s="83">
        <f>'PRESUPUESTO DE GASTOS'!H43</f>
        <v>252486.30000000002</v>
      </c>
      <c r="I10" s="83">
        <f>'PRESUPUESTO DE GASTOS'!I43</f>
        <v>252486.30000000002</v>
      </c>
      <c r="J10" s="83">
        <f>'PRESUPUESTO DE GASTOS'!J43</f>
        <v>252486.30000000002</v>
      </c>
      <c r="K10" s="83">
        <f>'PRESUPUESTO DE GASTOS'!K43</f>
        <v>252486.30000000002</v>
      </c>
      <c r="L10" s="83">
        <f>'PRESUPUESTO DE GASTOS'!L43</f>
        <v>314867.80000000005</v>
      </c>
      <c r="M10" s="83">
        <f>'PRESUPUESTO DE GASTOS'!M43</f>
        <v>314867.80000000005</v>
      </c>
      <c r="N10" s="154">
        <f t="shared" ref="N10:N18" si="0">SUM(B10:M10)</f>
        <v>2507981.7000000002</v>
      </c>
    </row>
    <row r="11" spans="1:14" ht="15.75" x14ac:dyDescent="0.25">
      <c r="A11" s="175" t="s">
        <v>284</v>
      </c>
      <c r="B11" s="176">
        <f>B9-B10</f>
        <v>10433</v>
      </c>
      <c r="C11" s="176">
        <f t="shared" ref="C11:M11" si="1">C9-C10</f>
        <v>10608.700000000012</v>
      </c>
      <c r="D11" s="176">
        <f t="shared" si="1"/>
        <v>18312.100000000006</v>
      </c>
      <c r="E11" s="176">
        <f t="shared" si="1"/>
        <v>24136.299999999988</v>
      </c>
      <c r="F11" s="176">
        <f t="shared" si="1"/>
        <v>25657.799999999988</v>
      </c>
      <c r="G11" s="176">
        <f t="shared" si="1"/>
        <v>34751.199999999983</v>
      </c>
      <c r="H11" s="176">
        <f t="shared" si="1"/>
        <v>37913.699999999983</v>
      </c>
      <c r="I11" s="176">
        <f t="shared" si="1"/>
        <v>37913.699999999983</v>
      </c>
      <c r="J11" s="176">
        <f t="shared" si="1"/>
        <v>37913.699999999983</v>
      </c>
      <c r="K11" s="176">
        <f t="shared" si="1"/>
        <v>37913.699999999983</v>
      </c>
      <c r="L11" s="176">
        <f t="shared" si="1"/>
        <v>45532.199999999953</v>
      </c>
      <c r="M11" s="176">
        <f t="shared" si="1"/>
        <v>45532.199999999953</v>
      </c>
      <c r="N11" s="231">
        <f t="shared" si="0"/>
        <v>366618.29999999981</v>
      </c>
    </row>
    <row r="12" spans="1:14" ht="15.75" x14ac:dyDescent="0.25">
      <c r="A12" s="80" t="s">
        <v>268</v>
      </c>
      <c r="B12" s="83">
        <f>'PRESUPUESTO DE GASTOS'!B45</f>
        <v>6141.5</v>
      </c>
      <c r="C12" s="83">
        <f>'PRESUPUESTO DE GASTOS'!C45</f>
        <v>6141.5</v>
      </c>
      <c r="D12" s="83">
        <f>'PRESUPUESTO DE GASTOS'!D45</f>
        <v>6141.5</v>
      </c>
      <c r="E12" s="83">
        <f>'PRESUPUESTO DE GASTOS'!E45</f>
        <v>6141.5</v>
      </c>
      <c r="F12" s="83">
        <f>'PRESUPUESTO DE GASTOS'!F45</f>
        <v>6141.5</v>
      </c>
      <c r="G12" s="83">
        <f>'PRESUPUESTO DE GASTOS'!G45</f>
        <v>6141.5</v>
      </c>
      <c r="H12" s="83">
        <f>'PRESUPUESTO DE GASTOS'!H45</f>
        <v>6141.5</v>
      </c>
      <c r="I12" s="83">
        <f>'PRESUPUESTO DE GASTOS'!I45</f>
        <v>6141.5</v>
      </c>
      <c r="J12" s="83">
        <f>'PRESUPUESTO DE GASTOS'!J45</f>
        <v>6141.5</v>
      </c>
      <c r="K12" s="83">
        <f>'PRESUPUESTO DE GASTOS'!K45</f>
        <v>6141.5</v>
      </c>
      <c r="L12" s="83">
        <f>'PRESUPUESTO DE GASTOS'!L45</f>
        <v>6141.5</v>
      </c>
      <c r="M12" s="83">
        <f>'PRESUPUESTO DE GASTOS'!M45</f>
        <v>6141.5</v>
      </c>
      <c r="N12" s="154">
        <f t="shared" si="0"/>
        <v>73698</v>
      </c>
    </row>
    <row r="13" spans="1:14" ht="15.75" x14ac:dyDescent="0.25">
      <c r="A13" s="80" t="s">
        <v>267</v>
      </c>
      <c r="B13" s="83">
        <f>'PRESUPUESTO DE GASTOS'!B44</f>
        <v>550</v>
      </c>
      <c r="C13" s="83">
        <f>'PRESUPUESTO DE GASTOS'!C44</f>
        <v>550</v>
      </c>
      <c r="D13" s="83">
        <f>'PRESUPUESTO DE GASTOS'!D44</f>
        <v>550</v>
      </c>
      <c r="E13" s="83">
        <f>'PRESUPUESTO DE GASTOS'!E44</f>
        <v>550</v>
      </c>
      <c r="F13" s="83">
        <f>'PRESUPUESTO DE GASTOS'!F44</f>
        <v>550</v>
      </c>
      <c r="G13" s="83">
        <f>'PRESUPUESTO DE GASTOS'!G44</f>
        <v>550</v>
      </c>
      <c r="H13" s="83">
        <f>'PRESUPUESTO DE GASTOS'!H44</f>
        <v>550</v>
      </c>
      <c r="I13" s="83">
        <f>'PRESUPUESTO DE GASTOS'!I44</f>
        <v>550</v>
      </c>
      <c r="J13" s="83">
        <f>'PRESUPUESTO DE GASTOS'!J44</f>
        <v>550</v>
      </c>
      <c r="K13" s="83">
        <f>'PRESUPUESTO DE GASTOS'!K44</f>
        <v>550</v>
      </c>
      <c r="L13" s="83">
        <f>'PRESUPUESTO DE GASTOS'!L44</f>
        <v>550</v>
      </c>
      <c r="M13" s="83">
        <f>'PRESUPUESTO DE GASTOS'!M44</f>
        <v>550</v>
      </c>
      <c r="N13" s="154">
        <f t="shared" si="0"/>
        <v>6600</v>
      </c>
    </row>
    <row r="14" spans="1:14" ht="15.75" x14ac:dyDescent="0.25">
      <c r="A14" s="175" t="s">
        <v>286</v>
      </c>
      <c r="B14" s="176">
        <f>B11-(B12+B13)</f>
        <v>3741.5</v>
      </c>
      <c r="C14" s="176">
        <f t="shared" ref="C14:M14" si="2">C11-(C12+C13)</f>
        <v>3917.2000000000116</v>
      </c>
      <c r="D14" s="176">
        <f t="shared" si="2"/>
        <v>11620.600000000006</v>
      </c>
      <c r="E14" s="176">
        <f t="shared" si="2"/>
        <v>17444.799999999988</v>
      </c>
      <c r="F14" s="176">
        <f t="shared" si="2"/>
        <v>18966.299999999988</v>
      </c>
      <c r="G14" s="176">
        <f t="shared" si="2"/>
        <v>28059.699999999983</v>
      </c>
      <c r="H14" s="176">
        <f t="shared" si="2"/>
        <v>31222.199999999983</v>
      </c>
      <c r="I14" s="176">
        <f t="shared" si="2"/>
        <v>31222.199999999983</v>
      </c>
      <c r="J14" s="176">
        <f t="shared" si="2"/>
        <v>31222.199999999983</v>
      </c>
      <c r="K14" s="176">
        <f t="shared" si="2"/>
        <v>31222.199999999983</v>
      </c>
      <c r="L14" s="176">
        <f t="shared" si="2"/>
        <v>38840.699999999953</v>
      </c>
      <c r="M14" s="176">
        <f t="shared" si="2"/>
        <v>38840.699999999953</v>
      </c>
      <c r="N14" s="231">
        <f t="shared" si="0"/>
        <v>286320.29999999981</v>
      </c>
    </row>
    <row r="15" spans="1:14" ht="15.75" x14ac:dyDescent="0.25">
      <c r="A15" s="80" t="s">
        <v>269</v>
      </c>
      <c r="B15" s="83">
        <f>'PRESUPUESTO DE GASTOS'!B46</f>
        <v>1793.2138245590268</v>
      </c>
      <c r="C15" s="83">
        <f>'PRESUPUESTO DE GASTOS'!C46</f>
        <v>1793.2138245590268</v>
      </c>
      <c r="D15" s="83">
        <f>'PRESUPUESTO DE GASTOS'!D46</f>
        <v>1793.2138245590268</v>
      </c>
      <c r="E15" s="83">
        <f>'PRESUPUESTO DE GASTOS'!E46</f>
        <v>1793.2138245590268</v>
      </c>
      <c r="F15" s="83">
        <f>'PRESUPUESTO DE GASTOS'!F46</f>
        <v>1793.2138245590268</v>
      </c>
      <c r="G15" s="83">
        <f>'PRESUPUESTO DE GASTOS'!G46</f>
        <v>1793.2138245590268</v>
      </c>
      <c r="H15" s="83">
        <f>'PRESUPUESTO DE GASTOS'!H46</f>
        <v>1793.2138245590268</v>
      </c>
      <c r="I15" s="83">
        <f>'PRESUPUESTO DE GASTOS'!I46</f>
        <v>1793.2138245590268</v>
      </c>
      <c r="J15" s="83">
        <f>'PRESUPUESTO DE GASTOS'!J46</f>
        <v>1793.2138245590268</v>
      </c>
      <c r="K15" s="83">
        <f>'PRESUPUESTO DE GASTOS'!K46</f>
        <v>1793.2138245590268</v>
      </c>
      <c r="L15" s="83">
        <f>'PRESUPUESTO DE GASTOS'!L46</f>
        <v>1793.2138245590268</v>
      </c>
      <c r="M15" s="83">
        <f>'PRESUPUESTO DE GASTOS'!M46</f>
        <v>1793.2138245590268</v>
      </c>
      <c r="N15" s="154">
        <f t="shared" si="0"/>
        <v>21518.565894708321</v>
      </c>
    </row>
    <row r="16" spans="1:14" ht="15.75" x14ac:dyDescent="0.25">
      <c r="A16" s="80" t="s">
        <v>297</v>
      </c>
      <c r="B16" s="83">
        <f>Depreciación!H23</f>
        <v>787.70833333333326</v>
      </c>
      <c r="C16" s="83">
        <f>$B$16</f>
        <v>787.70833333333326</v>
      </c>
      <c r="D16" s="83">
        <f t="shared" ref="D16:M16" si="3">$B$16</f>
        <v>787.70833333333326</v>
      </c>
      <c r="E16" s="83">
        <f t="shared" si="3"/>
        <v>787.70833333333326</v>
      </c>
      <c r="F16" s="83">
        <f t="shared" si="3"/>
        <v>787.70833333333326</v>
      </c>
      <c r="G16" s="83">
        <f t="shared" si="3"/>
        <v>787.70833333333326</v>
      </c>
      <c r="H16" s="83">
        <f t="shared" si="3"/>
        <v>787.70833333333326</v>
      </c>
      <c r="I16" s="83">
        <f t="shared" si="3"/>
        <v>787.70833333333326</v>
      </c>
      <c r="J16" s="83">
        <f t="shared" si="3"/>
        <v>787.70833333333326</v>
      </c>
      <c r="K16" s="83">
        <f t="shared" si="3"/>
        <v>787.70833333333326</v>
      </c>
      <c r="L16" s="83">
        <f t="shared" si="3"/>
        <v>787.70833333333326</v>
      </c>
      <c r="M16" s="83">
        <f t="shared" si="3"/>
        <v>787.70833333333326</v>
      </c>
      <c r="N16" s="154">
        <f t="shared" si="0"/>
        <v>9452.4999999999982</v>
      </c>
    </row>
    <row r="17" spans="1:14" ht="15.75" x14ac:dyDescent="0.25">
      <c r="A17" s="175" t="s">
        <v>287</v>
      </c>
      <c r="B17" s="176">
        <f>B14-(B15+B16)</f>
        <v>1160.5778421076402</v>
      </c>
      <c r="C17" s="176">
        <f t="shared" ref="C17:M17" si="4">C14-(C15+C16)</f>
        <v>1336.2778421076518</v>
      </c>
      <c r="D17" s="176">
        <f t="shared" si="4"/>
        <v>9039.6778421076451</v>
      </c>
      <c r="E17" s="176">
        <f t="shared" si="4"/>
        <v>14863.877842107628</v>
      </c>
      <c r="F17" s="176">
        <f t="shared" si="4"/>
        <v>16385.377842107628</v>
      </c>
      <c r="G17" s="176">
        <f t="shared" si="4"/>
        <v>25478.777842107622</v>
      </c>
      <c r="H17" s="176">
        <f t="shared" si="4"/>
        <v>28641.277842107622</v>
      </c>
      <c r="I17" s="176">
        <f t="shared" si="4"/>
        <v>28641.277842107622</v>
      </c>
      <c r="J17" s="176">
        <f t="shared" si="4"/>
        <v>28641.277842107622</v>
      </c>
      <c r="K17" s="176">
        <f t="shared" si="4"/>
        <v>28641.277842107622</v>
      </c>
      <c r="L17" s="176">
        <f t="shared" si="4"/>
        <v>36259.777842107593</v>
      </c>
      <c r="M17" s="176">
        <f t="shared" si="4"/>
        <v>36259.777842107593</v>
      </c>
      <c r="N17" s="231">
        <f t="shared" si="0"/>
        <v>255349.23410529149</v>
      </c>
    </row>
    <row r="18" spans="1:14" ht="15.75" x14ac:dyDescent="0.25">
      <c r="A18" s="80" t="s">
        <v>288</v>
      </c>
      <c r="B18" s="83">
        <f>B17*0.3</f>
        <v>348.17335263229205</v>
      </c>
      <c r="C18" s="83">
        <f t="shared" ref="C18:M18" si="5">C17*0.3</f>
        <v>400.88335263229555</v>
      </c>
      <c r="D18" s="83">
        <f t="shared" si="5"/>
        <v>2711.9033526322933</v>
      </c>
      <c r="E18" s="83">
        <f t="shared" si="5"/>
        <v>4459.1633526322885</v>
      </c>
      <c r="F18" s="83">
        <f t="shared" si="5"/>
        <v>4915.6133526322883</v>
      </c>
      <c r="G18" s="83">
        <f t="shared" si="5"/>
        <v>7643.633352632286</v>
      </c>
      <c r="H18" s="83">
        <f t="shared" si="5"/>
        <v>8592.3833526322869</v>
      </c>
      <c r="I18" s="83">
        <f t="shared" si="5"/>
        <v>8592.3833526322869</v>
      </c>
      <c r="J18" s="83">
        <f t="shared" si="5"/>
        <v>8592.3833526322869</v>
      </c>
      <c r="K18" s="83">
        <f t="shared" si="5"/>
        <v>8592.3833526322869</v>
      </c>
      <c r="L18" s="83">
        <f t="shared" si="5"/>
        <v>10877.933352632277</v>
      </c>
      <c r="M18" s="83">
        <f t="shared" si="5"/>
        <v>10877.933352632277</v>
      </c>
      <c r="N18" s="154">
        <f t="shared" si="0"/>
        <v>76604.770231587434</v>
      </c>
    </row>
    <row r="19" spans="1:14" ht="15.75" x14ac:dyDescent="0.25">
      <c r="A19" s="175" t="s">
        <v>285</v>
      </c>
      <c r="B19" s="176">
        <f>B17-B18</f>
        <v>812.4044894753481</v>
      </c>
      <c r="C19" s="176">
        <f t="shared" ref="C19:M19" si="6">C17-C18</f>
        <v>935.39448947535629</v>
      </c>
      <c r="D19" s="176">
        <f t="shared" si="6"/>
        <v>6327.7744894753523</v>
      </c>
      <c r="E19" s="176">
        <f t="shared" si="6"/>
        <v>10404.71448947534</v>
      </c>
      <c r="F19" s="176">
        <f t="shared" si="6"/>
        <v>11469.764489475339</v>
      </c>
      <c r="G19" s="176">
        <f t="shared" si="6"/>
        <v>17835.144489475337</v>
      </c>
      <c r="H19" s="176">
        <f t="shared" si="6"/>
        <v>20048.894489475337</v>
      </c>
      <c r="I19" s="176">
        <f t="shared" si="6"/>
        <v>20048.894489475337</v>
      </c>
      <c r="J19" s="176">
        <f t="shared" si="6"/>
        <v>20048.894489475337</v>
      </c>
      <c r="K19" s="176">
        <f t="shared" si="6"/>
        <v>20048.894489475337</v>
      </c>
      <c r="L19" s="176">
        <f t="shared" si="6"/>
        <v>25381.844489475316</v>
      </c>
      <c r="M19" s="176">
        <f t="shared" si="6"/>
        <v>25381.844489475316</v>
      </c>
      <c r="N19" s="232">
        <f>SUM(B19:M19)</f>
        <v>178744.46387370405</v>
      </c>
    </row>
    <row r="20" spans="1:14" ht="15.75" x14ac:dyDescent="0.2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4" ht="15.75" x14ac:dyDescent="0.25">
      <c r="A21" s="181" t="s">
        <v>299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4" ht="15.75" x14ac:dyDescent="0.25">
      <c r="A22" s="174" t="s">
        <v>300</v>
      </c>
      <c r="B22" s="182">
        <f>B19/B9</f>
        <v>9.3919594158999777E-3</v>
      </c>
      <c r="C22" s="182">
        <f t="shared" ref="C22:M22" si="7">C19/C9</f>
        <v>9.9510052071846416E-3</v>
      </c>
      <c r="D22" s="182">
        <f t="shared" si="7"/>
        <v>4.3046084962417359E-2</v>
      </c>
      <c r="E22" s="182">
        <f t="shared" si="7"/>
        <v>5.4503480824910112E-2</v>
      </c>
      <c r="F22" s="182">
        <f t="shared" si="7"/>
        <v>5.6390189230458895E-2</v>
      </c>
      <c r="G22" s="182">
        <f t="shared" si="7"/>
        <v>6.5958374591254948E-2</v>
      </c>
      <c r="H22" s="182">
        <f t="shared" si="7"/>
        <v>6.903889287009414E-2</v>
      </c>
      <c r="I22" s="182">
        <f t="shared" si="7"/>
        <v>6.903889287009414E-2</v>
      </c>
      <c r="J22" s="182">
        <f t="shared" si="7"/>
        <v>6.903889287009414E-2</v>
      </c>
      <c r="K22" s="182">
        <f t="shared" si="7"/>
        <v>6.903889287009414E-2</v>
      </c>
      <c r="L22" s="182">
        <f t="shared" si="7"/>
        <v>7.042687150242874E-2</v>
      </c>
      <c r="M22" s="182">
        <f t="shared" si="7"/>
        <v>7.042687150242874E-2</v>
      </c>
    </row>
    <row r="23" spans="1:14" ht="15.75" x14ac:dyDescent="0.25">
      <c r="A23" s="174" t="s">
        <v>300</v>
      </c>
      <c r="B23" s="66">
        <f>B19/B9</f>
        <v>9.3919594158999777E-3</v>
      </c>
      <c r="C23" s="66">
        <f t="shared" ref="C23:M23" si="8">C19/C9</f>
        <v>9.9510052071846416E-3</v>
      </c>
      <c r="D23" s="66">
        <f t="shared" si="8"/>
        <v>4.3046084962417359E-2</v>
      </c>
      <c r="E23" s="66">
        <f t="shared" si="8"/>
        <v>5.4503480824910112E-2</v>
      </c>
      <c r="F23" s="66">
        <f t="shared" si="8"/>
        <v>5.6390189230458895E-2</v>
      </c>
      <c r="G23" s="66">
        <f t="shared" si="8"/>
        <v>6.5958374591254948E-2</v>
      </c>
      <c r="H23" s="66">
        <f t="shared" si="8"/>
        <v>6.903889287009414E-2</v>
      </c>
      <c r="I23" s="66">
        <f t="shared" si="8"/>
        <v>6.903889287009414E-2</v>
      </c>
      <c r="J23" s="66">
        <f t="shared" si="8"/>
        <v>6.903889287009414E-2</v>
      </c>
      <c r="K23" s="66">
        <f t="shared" si="8"/>
        <v>6.903889287009414E-2</v>
      </c>
      <c r="L23" s="66">
        <f t="shared" si="8"/>
        <v>7.042687150242874E-2</v>
      </c>
      <c r="M23" s="66">
        <f t="shared" si="8"/>
        <v>7.042687150242874E-2</v>
      </c>
    </row>
    <row r="24" spans="1:14" ht="15.75" x14ac:dyDescent="0.25">
      <c r="A24" s="183"/>
    </row>
    <row r="25" spans="1:14" x14ac:dyDescent="0.25">
      <c r="A25" t="s">
        <v>327</v>
      </c>
    </row>
  </sheetData>
  <mergeCells count="1">
    <mergeCell ref="A6:M6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60" verticalDpi="36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6"/>
  <sheetViews>
    <sheetView zoomScale="80" zoomScaleNormal="80" workbookViewId="0">
      <selection activeCell="D10" sqref="D10"/>
    </sheetView>
  </sheetViews>
  <sheetFormatPr baseColWidth="10" defaultRowHeight="15" x14ac:dyDescent="0.25"/>
  <cols>
    <col min="1" max="1" width="31.42578125" customWidth="1"/>
    <col min="2" max="2" width="15.5703125" customWidth="1"/>
    <col min="3" max="3" width="15.140625" customWidth="1"/>
    <col min="4" max="4" width="13.85546875" customWidth="1"/>
    <col min="5" max="5" width="15.140625" customWidth="1"/>
    <col min="6" max="6" width="15.85546875" customWidth="1"/>
    <col min="7" max="7" width="15.7109375" customWidth="1"/>
    <col min="8" max="8" width="15" customWidth="1"/>
    <col min="9" max="9" width="14.5703125" customWidth="1"/>
    <col min="10" max="10" width="14.7109375" customWidth="1"/>
    <col min="11" max="11" width="15.42578125" customWidth="1"/>
    <col min="12" max="12" width="15.140625" customWidth="1"/>
    <col min="13" max="13" width="15.5703125" customWidth="1"/>
    <col min="14" max="14" width="15.7109375" customWidth="1"/>
    <col min="15" max="15" width="16.85546875" customWidth="1"/>
  </cols>
  <sheetData>
    <row r="6" spans="1:14" ht="21" x14ac:dyDescent="0.35">
      <c r="A6" s="301" t="s">
        <v>321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8" spans="1:14" ht="15.75" x14ac:dyDescent="0.25">
      <c r="A8" s="174" t="s">
        <v>301</v>
      </c>
      <c r="B8" s="184">
        <v>0</v>
      </c>
      <c r="C8" s="184">
        <v>1</v>
      </c>
      <c r="D8" s="184">
        <v>2</v>
      </c>
      <c r="E8" s="184">
        <v>3</v>
      </c>
      <c r="F8" s="184">
        <v>4</v>
      </c>
      <c r="G8" s="184">
        <v>5</v>
      </c>
      <c r="H8" s="184">
        <v>6</v>
      </c>
      <c r="I8" s="184">
        <v>7</v>
      </c>
      <c r="J8" s="184">
        <v>8</v>
      </c>
      <c r="K8" s="184">
        <v>9</v>
      </c>
      <c r="L8" s="184">
        <v>10</v>
      </c>
      <c r="M8" s="184">
        <v>11</v>
      </c>
      <c r="N8" s="184">
        <v>12</v>
      </c>
    </row>
    <row r="9" spans="1:14" x14ac:dyDescent="0.25">
      <c r="A9" s="187" t="s">
        <v>302</v>
      </c>
      <c r="B9" s="188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</row>
    <row r="10" spans="1:14" ht="15.75" thickBot="1" x14ac:dyDescent="0.3">
      <c r="A10" s="194" t="s">
        <v>303</v>
      </c>
      <c r="B10" s="194"/>
      <c r="C10" s="195">
        <f>'PROYECCIÓN DE VENTAS'!C36</f>
        <v>86500</v>
      </c>
      <c r="D10" s="195">
        <f>'PROYECCIÓN DE VENTAS'!D36</f>
        <v>94000</v>
      </c>
      <c r="E10" s="195">
        <f>'PROYECCIÓN DE VENTAS'!E36</f>
        <v>147000</v>
      </c>
      <c r="F10" s="195">
        <f>'PROYECCIÓN DE VENTAS'!F36</f>
        <v>190900</v>
      </c>
      <c r="G10" s="195">
        <f>'PROYECCIÓN DE VENTAS'!G36</f>
        <v>203400</v>
      </c>
      <c r="H10" s="195">
        <f>'PROYECCIÓN DE VENTAS'!H36</f>
        <v>270400</v>
      </c>
      <c r="I10" s="195">
        <f>'PROYECCIÓN DE VENTAS'!I36</f>
        <v>290400</v>
      </c>
      <c r="J10" s="195">
        <f>'PROYECCIÓN DE VENTAS'!J36</f>
        <v>290400</v>
      </c>
      <c r="K10" s="195">
        <f>'PROYECCIÓN DE VENTAS'!K36</f>
        <v>290400</v>
      </c>
      <c r="L10" s="195">
        <f>'PROYECCIÓN DE VENTAS'!L36</f>
        <v>290400</v>
      </c>
      <c r="M10" s="195">
        <f>'PROYECCIÓN DE VENTAS'!M36</f>
        <v>360400</v>
      </c>
      <c r="N10" s="195">
        <f>'PROYECCIÓN DE VENTAS'!N36</f>
        <v>360400</v>
      </c>
    </row>
    <row r="11" spans="1:14" ht="15.75" thickBot="1" x14ac:dyDescent="0.3">
      <c r="A11" s="196" t="s">
        <v>304</v>
      </c>
      <c r="B11" s="197"/>
      <c r="C11" s="198">
        <f>SUM(C10)</f>
        <v>86500</v>
      </c>
      <c r="D11" s="198">
        <f t="shared" ref="D11:N11" si="0">SUM(D10)</f>
        <v>94000</v>
      </c>
      <c r="E11" s="198">
        <f t="shared" si="0"/>
        <v>147000</v>
      </c>
      <c r="F11" s="198">
        <f t="shared" si="0"/>
        <v>190900</v>
      </c>
      <c r="G11" s="198">
        <f t="shared" si="0"/>
        <v>203400</v>
      </c>
      <c r="H11" s="198">
        <f t="shared" si="0"/>
        <v>270400</v>
      </c>
      <c r="I11" s="198">
        <f t="shared" si="0"/>
        <v>290400</v>
      </c>
      <c r="J11" s="198">
        <f t="shared" si="0"/>
        <v>290400</v>
      </c>
      <c r="K11" s="198">
        <f t="shared" si="0"/>
        <v>290400</v>
      </c>
      <c r="L11" s="198">
        <f t="shared" si="0"/>
        <v>290400</v>
      </c>
      <c r="M11" s="198">
        <f t="shared" si="0"/>
        <v>360400</v>
      </c>
      <c r="N11" s="199">
        <f t="shared" si="0"/>
        <v>360400</v>
      </c>
    </row>
    <row r="12" spans="1:14" x14ac:dyDescent="0.25">
      <c r="A12" s="187" t="s">
        <v>305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4" x14ac:dyDescent="0.25">
      <c r="A13" s="191" t="s">
        <v>313</v>
      </c>
      <c r="B13" s="204">
        <f>-'INVERSION INICIAL'!F88</f>
        <v>-62227.5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</row>
    <row r="14" spans="1:14" x14ac:dyDescent="0.25">
      <c r="A14" s="193" t="s">
        <v>266</v>
      </c>
      <c r="B14" s="193"/>
      <c r="C14" s="192">
        <f>'PRESUPUESTO DE GASTOS'!B43</f>
        <v>76067</v>
      </c>
      <c r="D14" s="192">
        <f>'PRESUPUESTO DE GASTOS'!C43</f>
        <v>83391.299999999988</v>
      </c>
      <c r="E14" s="192">
        <f>'PRESUPUESTO DE GASTOS'!D43</f>
        <v>128687.9</v>
      </c>
      <c r="F14" s="192">
        <f>'PRESUPUESTO DE GASTOS'!E43</f>
        <v>166763.70000000001</v>
      </c>
      <c r="G14" s="192">
        <f>'PRESUPUESTO DE GASTOS'!F43</f>
        <v>177742.2</v>
      </c>
      <c r="H14" s="192">
        <f>'PRESUPUESTO DE GASTOS'!G43</f>
        <v>235648.80000000002</v>
      </c>
      <c r="I14" s="192">
        <f>'PRESUPUESTO DE GASTOS'!H43</f>
        <v>252486.30000000002</v>
      </c>
      <c r="J14" s="192">
        <f>'PRESUPUESTO DE GASTOS'!I43</f>
        <v>252486.30000000002</v>
      </c>
      <c r="K14" s="192">
        <f>'PRESUPUESTO DE GASTOS'!J43</f>
        <v>252486.30000000002</v>
      </c>
      <c r="L14" s="192">
        <f>'PRESUPUESTO DE GASTOS'!K43</f>
        <v>252486.30000000002</v>
      </c>
      <c r="M14" s="192">
        <f>'PRESUPUESTO DE GASTOS'!L43</f>
        <v>314867.80000000005</v>
      </c>
      <c r="N14" s="192">
        <f>'PRESUPUESTO DE GASTOS'!M43</f>
        <v>314867.80000000005</v>
      </c>
    </row>
    <row r="15" spans="1:14" x14ac:dyDescent="0.25">
      <c r="A15" s="193" t="s">
        <v>267</v>
      </c>
      <c r="B15" s="193"/>
      <c r="C15" s="192">
        <f>'PRESUPUESTO DE GASTOS'!B44</f>
        <v>550</v>
      </c>
      <c r="D15" s="192">
        <f>'PRESUPUESTO DE GASTOS'!C44</f>
        <v>550</v>
      </c>
      <c r="E15" s="192">
        <f>'PRESUPUESTO DE GASTOS'!D44</f>
        <v>550</v>
      </c>
      <c r="F15" s="192">
        <f>'PRESUPUESTO DE GASTOS'!E44</f>
        <v>550</v>
      </c>
      <c r="G15" s="192">
        <f>'PRESUPUESTO DE GASTOS'!F44</f>
        <v>550</v>
      </c>
      <c r="H15" s="192">
        <f>'PRESUPUESTO DE GASTOS'!G44</f>
        <v>550</v>
      </c>
      <c r="I15" s="192">
        <f>'PRESUPUESTO DE GASTOS'!H44</f>
        <v>550</v>
      </c>
      <c r="J15" s="192">
        <f>'PRESUPUESTO DE GASTOS'!I44</f>
        <v>550</v>
      </c>
      <c r="K15" s="192">
        <f>'PRESUPUESTO DE GASTOS'!J44</f>
        <v>550</v>
      </c>
      <c r="L15" s="192">
        <f>'PRESUPUESTO DE GASTOS'!K44</f>
        <v>550</v>
      </c>
      <c r="M15" s="192">
        <f>'PRESUPUESTO DE GASTOS'!L44</f>
        <v>550</v>
      </c>
      <c r="N15" s="192">
        <f>'PRESUPUESTO DE GASTOS'!M44</f>
        <v>550</v>
      </c>
    </row>
    <row r="16" spans="1:14" ht="15.75" thickBot="1" x14ac:dyDescent="0.3">
      <c r="A16" s="194" t="s">
        <v>306</v>
      </c>
      <c r="B16" s="194"/>
      <c r="C16" s="195">
        <f>'PRESUPUESTO DE GASTOS'!B45</f>
        <v>6141.5</v>
      </c>
      <c r="D16" s="195">
        <f>'PRESUPUESTO DE GASTOS'!C45</f>
        <v>6141.5</v>
      </c>
      <c r="E16" s="195">
        <f>'PRESUPUESTO DE GASTOS'!D45</f>
        <v>6141.5</v>
      </c>
      <c r="F16" s="195">
        <f>'PRESUPUESTO DE GASTOS'!E45</f>
        <v>6141.5</v>
      </c>
      <c r="G16" s="195">
        <f>'PRESUPUESTO DE GASTOS'!F45</f>
        <v>6141.5</v>
      </c>
      <c r="H16" s="195">
        <f>'PRESUPUESTO DE GASTOS'!G45</f>
        <v>6141.5</v>
      </c>
      <c r="I16" s="195">
        <f>'PRESUPUESTO DE GASTOS'!H45</f>
        <v>6141.5</v>
      </c>
      <c r="J16" s="195">
        <f>'PRESUPUESTO DE GASTOS'!I45</f>
        <v>6141.5</v>
      </c>
      <c r="K16" s="195">
        <f>'PRESUPUESTO DE GASTOS'!J45</f>
        <v>6141.5</v>
      </c>
      <c r="L16" s="195">
        <f>'PRESUPUESTO DE GASTOS'!K45</f>
        <v>6141.5</v>
      </c>
      <c r="M16" s="195">
        <f>'PRESUPUESTO DE GASTOS'!L45</f>
        <v>6141.5</v>
      </c>
      <c r="N16" s="195">
        <f>'PRESUPUESTO DE GASTOS'!M45</f>
        <v>6141.5</v>
      </c>
    </row>
    <row r="17" spans="1:15" ht="15.75" thickBot="1" x14ac:dyDescent="0.3">
      <c r="A17" s="196" t="s">
        <v>307</v>
      </c>
      <c r="B17" s="197"/>
      <c r="C17" s="198">
        <f>SUM(C14:C16)</f>
        <v>82758.5</v>
      </c>
      <c r="D17" s="198">
        <f t="shared" ref="D17:N17" si="1">SUM(D14:D16)</f>
        <v>90082.799999999988</v>
      </c>
      <c r="E17" s="198">
        <f t="shared" si="1"/>
        <v>135379.4</v>
      </c>
      <c r="F17" s="198">
        <f t="shared" si="1"/>
        <v>173455.2</v>
      </c>
      <c r="G17" s="198">
        <f t="shared" si="1"/>
        <v>184433.7</v>
      </c>
      <c r="H17" s="198">
        <f t="shared" si="1"/>
        <v>242340.30000000002</v>
      </c>
      <c r="I17" s="198">
        <f t="shared" si="1"/>
        <v>259177.80000000002</v>
      </c>
      <c r="J17" s="198">
        <f t="shared" si="1"/>
        <v>259177.80000000002</v>
      </c>
      <c r="K17" s="198">
        <f t="shared" si="1"/>
        <v>259177.80000000002</v>
      </c>
      <c r="L17" s="198">
        <f t="shared" si="1"/>
        <v>259177.80000000002</v>
      </c>
      <c r="M17" s="198">
        <f t="shared" si="1"/>
        <v>321559.30000000005</v>
      </c>
      <c r="N17" s="199">
        <f t="shared" si="1"/>
        <v>321559.30000000005</v>
      </c>
    </row>
    <row r="19" spans="1:15" ht="15.75" thickBot="1" x14ac:dyDescent="0.3">
      <c r="A19" s="189" t="s">
        <v>308</v>
      </c>
      <c r="B19" s="189"/>
      <c r="C19" s="190">
        <f>C11-C17</f>
        <v>3741.5</v>
      </c>
      <c r="D19" s="190">
        <f t="shared" ref="D19:N19" si="2">D11-D17</f>
        <v>3917.2000000000116</v>
      </c>
      <c r="E19" s="190">
        <f t="shared" si="2"/>
        <v>11620.600000000006</v>
      </c>
      <c r="F19" s="190">
        <f t="shared" si="2"/>
        <v>17444.799999999988</v>
      </c>
      <c r="G19" s="190">
        <f t="shared" si="2"/>
        <v>18966.299999999988</v>
      </c>
      <c r="H19" s="190">
        <f t="shared" si="2"/>
        <v>28059.699999999983</v>
      </c>
      <c r="I19" s="190">
        <f t="shared" si="2"/>
        <v>31222.199999999983</v>
      </c>
      <c r="J19" s="190">
        <f t="shared" si="2"/>
        <v>31222.199999999983</v>
      </c>
      <c r="K19" s="190">
        <f t="shared" si="2"/>
        <v>31222.199999999983</v>
      </c>
      <c r="L19" s="190">
        <f t="shared" si="2"/>
        <v>31222.199999999983</v>
      </c>
      <c r="M19" s="190">
        <f t="shared" si="2"/>
        <v>38840.699999999953</v>
      </c>
      <c r="N19" s="190">
        <f t="shared" si="2"/>
        <v>38840.699999999953</v>
      </c>
    </row>
    <row r="20" spans="1:15" ht="15.75" thickTop="1" x14ac:dyDescent="0.25">
      <c r="A20" s="222" t="s">
        <v>329</v>
      </c>
      <c r="B20" s="224">
        <f>SUM(C20:N20)</f>
        <v>99536.156144105771</v>
      </c>
      <c r="C20" s="223">
        <f>C19/((1+$B$30)^C8)</f>
        <v>3253.4782608695655</v>
      </c>
      <c r="D20" s="223">
        <f t="shared" ref="D20:N20" si="3">D19/((1+$B$30)^D8)</f>
        <v>2961.965973534981</v>
      </c>
      <c r="E20" s="223">
        <f t="shared" si="3"/>
        <v>7640.7331305991675</v>
      </c>
      <c r="F20" s="223">
        <f t="shared" si="3"/>
        <v>9974.1210187213419</v>
      </c>
      <c r="G20" s="223">
        <f t="shared" si="3"/>
        <v>9429.6031146879504</v>
      </c>
      <c r="H20" s="223">
        <f t="shared" si="3"/>
        <v>12130.982642999494</v>
      </c>
      <c r="I20" s="223">
        <f t="shared" si="3"/>
        <v>11737.581447886778</v>
      </c>
      <c r="J20" s="223">
        <f t="shared" si="3"/>
        <v>10206.592563379807</v>
      </c>
      <c r="K20" s="223">
        <f t="shared" si="3"/>
        <v>8875.2978811998328</v>
      </c>
      <c r="L20" s="223">
        <f t="shared" si="3"/>
        <v>7717.6503314781157</v>
      </c>
      <c r="M20" s="223">
        <f t="shared" si="3"/>
        <v>8348.545230493517</v>
      </c>
      <c r="N20" s="223">
        <f t="shared" si="3"/>
        <v>7259.6045482552336</v>
      </c>
    </row>
    <row r="21" spans="1:15" x14ac:dyDescent="0.25">
      <c r="J21" s="67"/>
    </row>
    <row r="22" spans="1:15" x14ac:dyDescent="0.25">
      <c r="A22" s="191" t="s">
        <v>314</v>
      </c>
      <c r="B22" s="204">
        <f>-'INVERSION INICIAL'!E93</f>
        <v>-20000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</row>
    <row r="23" spans="1:15" x14ac:dyDescent="0.25">
      <c r="A23" s="193" t="s">
        <v>310</v>
      </c>
      <c r="B23" s="193"/>
      <c r="C23" s="192">
        <f>'AMORTIZACION DE PRESTAMO'!D23</f>
        <v>1564.3604858564231</v>
      </c>
      <c r="D23" s="192">
        <f>'AMORTIZACION DE PRESTAMO'!D24</f>
        <v>1582.2609418625566</v>
      </c>
      <c r="E23" s="192">
        <f>'AMORTIZACION DE PRESTAMO'!D25</f>
        <v>1600.3662268247551</v>
      </c>
      <c r="F23" s="192">
        <f>'AMORTIZACION DE PRESTAMO'!D26</f>
        <v>1618.6786845325419</v>
      </c>
      <c r="G23" s="192">
        <f>'AMORTIZACION DE PRESTAMO'!D27</f>
        <v>1637.2006855946424</v>
      </c>
      <c r="H23" s="192">
        <f>'AMORTIZACION DE PRESTAMO'!D28</f>
        <v>1655.9346277458687</v>
      </c>
      <c r="I23" s="192">
        <f>'AMORTIZACION DE PRESTAMO'!D29</f>
        <v>1674.8829361575133</v>
      </c>
      <c r="J23" s="192">
        <f>'AMORTIZACION DE PRESTAMO'!D30</f>
        <v>1694.0480637512967</v>
      </c>
      <c r="K23" s="192">
        <f>'AMORTIZACION DE PRESTAMO'!D31</f>
        <v>1713.432491516905</v>
      </c>
      <c r="L23" s="192">
        <f>'AMORTIZACION DE PRESTAMO'!D32</f>
        <v>1733.0387288331633</v>
      </c>
      <c r="M23" s="192">
        <f>'AMORTIZACION DE PRESTAMO'!D33</f>
        <v>1752.8693137928826</v>
      </c>
      <c r="N23" s="192">
        <f>'AMORTIZACION DE PRESTAMO'!D34</f>
        <v>1772.9268135314246</v>
      </c>
      <c r="O23" s="67"/>
    </row>
    <row r="24" spans="1:15" ht="15.75" thickBot="1" x14ac:dyDescent="0.3">
      <c r="A24" s="194" t="s">
        <v>309</v>
      </c>
      <c r="B24" s="194"/>
      <c r="C24" s="195">
        <f>'AMORTIZACION DE PRESTAMO'!E23</f>
        <v>228.85333870260371</v>
      </c>
      <c r="D24" s="195">
        <f>'AMORTIZACION DE PRESTAMO'!E24</f>
        <v>210.95288269647025</v>
      </c>
      <c r="E24" s="195">
        <f>'AMORTIZACION DE PRESTAMO'!E25</f>
        <v>192.8475977342716</v>
      </c>
      <c r="F24" s="195">
        <f>'AMORTIZACION DE PRESTAMO'!E26</f>
        <v>174.53514002648492</v>
      </c>
      <c r="G24" s="195">
        <f>'AMORTIZACION DE PRESTAMO'!E27</f>
        <v>156.01313896438438</v>
      </c>
      <c r="H24" s="195">
        <f>'AMORTIZACION DE PRESTAMO'!E28</f>
        <v>137.27919681315811</v>
      </c>
      <c r="I24" s="195">
        <f>'AMORTIZACION DE PRESTAMO'!E29</f>
        <v>118.33088840151335</v>
      </c>
      <c r="J24" s="195">
        <f>'AMORTIZACION DE PRESTAMO'!E30</f>
        <v>99.16576080773001</v>
      </c>
      <c r="K24" s="195">
        <f>'AMORTIZACION DE PRESTAMO'!E31</f>
        <v>79.78133304212173</v>
      </c>
      <c r="L24" s="195">
        <f>'AMORTIZACION DE PRESTAMO'!E32</f>
        <v>60.175095725863514</v>
      </c>
      <c r="M24" s="195">
        <f>'AMORTIZACION DE PRESTAMO'!E33</f>
        <v>40.344510766144232</v>
      </c>
      <c r="N24" s="195">
        <f>'AMORTIZACION DE PRESTAMO'!E34</f>
        <v>20.287011027602077</v>
      </c>
      <c r="O24" s="67"/>
    </row>
    <row r="25" spans="1:15" ht="15.75" thickBot="1" x14ac:dyDescent="0.3">
      <c r="A25" s="196" t="s">
        <v>311</v>
      </c>
      <c r="B25" s="197"/>
      <c r="C25" s="198">
        <f>SUM(C23:C24)</f>
        <v>1793.2138245590268</v>
      </c>
      <c r="D25" s="198">
        <f t="shared" ref="D25:N25" si="4">SUM(D23:D24)</f>
        <v>1793.2138245590268</v>
      </c>
      <c r="E25" s="198">
        <f t="shared" si="4"/>
        <v>1793.2138245590268</v>
      </c>
      <c r="F25" s="198">
        <f t="shared" si="4"/>
        <v>1793.2138245590268</v>
      </c>
      <c r="G25" s="198">
        <f t="shared" si="4"/>
        <v>1793.2138245590268</v>
      </c>
      <c r="H25" s="198">
        <f t="shared" si="4"/>
        <v>1793.2138245590268</v>
      </c>
      <c r="I25" s="198">
        <f t="shared" si="4"/>
        <v>1793.2138245590268</v>
      </c>
      <c r="J25" s="198">
        <f t="shared" si="4"/>
        <v>1793.2138245590268</v>
      </c>
      <c r="K25" s="198">
        <f t="shared" si="4"/>
        <v>1793.2138245590268</v>
      </c>
      <c r="L25" s="198">
        <f t="shared" si="4"/>
        <v>1793.2138245590268</v>
      </c>
      <c r="M25" s="198">
        <f t="shared" si="4"/>
        <v>1793.2138245590268</v>
      </c>
      <c r="N25" s="199">
        <f t="shared" si="4"/>
        <v>1793.2138245590268</v>
      </c>
      <c r="O25" s="67"/>
    </row>
    <row r="27" spans="1:15" x14ac:dyDescent="0.25">
      <c r="A27" s="185" t="s">
        <v>312</v>
      </c>
      <c r="B27" s="185"/>
      <c r="C27" s="186">
        <f>C19-C25</f>
        <v>1948.2861754409732</v>
      </c>
      <c r="D27" s="186">
        <f t="shared" ref="D27:N27" si="5">D19-D25</f>
        <v>2123.9861754409849</v>
      </c>
      <c r="E27" s="186">
        <f t="shared" si="5"/>
        <v>9827.3861754409791</v>
      </c>
      <c r="F27" s="186">
        <f t="shared" si="5"/>
        <v>15651.586175440962</v>
      </c>
      <c r="G27" s="186">
        <f t="shared" si="5"/>
        <v>17173.086175440963</v>
      </c>
      <c r="H27" s="186">
        <f t="shared" si="5"/>
        <v>26266.486175440958</v>
      </c>
      <c r="I27" s="186">
        <f t="shared" si="5"/>
        <v>29428.986175440958</v>
      </c>
      <c r="J27" s="186">
        <f t="shared" si="5"/>
        <v>29428.986175440958</v>
      </c>
      <c r="K27" s="186">
        <f t="shared" si="5"/>
        <v>29428.986175440958</v>
      </c>
      <c r="L27" s="186">
        <f t="shared" si="5"/>
        <v>29428.986175440958</v>
      </c>
      <c r="M27" s="186">
        <f t="shared" si="5"/>
        <v>37047.486175440928</v>
      </c>
      <c r="N27" s="186">
        <f t="shared" si="5"/>
        <v>37047.486175440928</v>
      </c>
    </row>
    <row r="29" spans="1:15" x14ac:dyDescent="0.25">
      <c r="A29" s="212" t="s">
        <v>323</v>
      </c>
      <c r="B29" s="213">
        <f>SUM(C29:N29)</f>
        <v>89815.827217869999</v>
      </c>
      <c r="C29" s="200">
        <f>C27/((1+$B$30)^C8)</f>
        <v>1694.1618916878028</v>
      </c>
      <c r="D29" s="200">
        <f t="shared" ref="D29:N29" si="6">D27/((1+$B$30)^D8)</f>
        <v>1606.0386959856221</v>
      </c>
      <c r="E29" s="200">
        <f t="shared" si="6"/>
        <v>6461.6659327301604</v>
      </c>
      <c r="F29" s="200">
        <f t="shared" si="6"/>
        <v>8948.8451944874214</v>
      </c>
      <c r="G29" s="200">
        <f t="shared" si="6"/>
        <v>8538.0589197019326</v>
      </c>
      <c r="H29" s="200">
        <f t="shared" si="6"/>
        <v>11355.726821272523</v>
      </c>
      <c r="I29" s="200">
        <f t="shared" si="6"/>
        <v>11063.44595073289</v>
      </c>
      <c r="J29" s="200">
        <f t="shared" si="6"/>
        <v>9620.3877832459912</v>
      </c>
      <c r="K29" s="200">
        <f t="shared" si="6"/>
        <v>8365.5545941269502</v>
      </c>
      <c r="L29" s="200">
        <f t="shared" si="6"/>
        <v>7274.3952992408267</v>
      </c>
      <c r="M29" s="200">
        <f t="shared" si="6"/>
        <v>7963.1060720263085</v>
      </c>
      <c r="N29" s="200">
        <f t="shared" si="6"/>
        <v>6924.4400626315737</v>
      </c>
      <c r="O29" s="67"/>
    </row>
    <row r="30" spans="1:15" ht="15.75" x14ac:dyDescent="0.25">
      <c r="A30" s="201" t="s">
        <v>315</v>
      </c>
      <c r="B30" s="202">
        <v>0.15</v>
      </c>
    </row>
    <row r="31" spans="1:15" ht="15.75" thickBot="1" x14ac:dyDescent="0.3"/>
    <row r="32" spans="1:15" ht="15.75" thickBot="1" x14ac:dyDescent="0.3">
      <c r="A32" s="205" t="s">
        <v>316</v>
      </c>
      <c r="B32" s="203">
        <f>B13</f>
        <v>-62227.5</v>
      </c>
      <c r="C32" s="206">
        <f>C19</f>
        <v>3741.5</v>
      </c>
      <c r="D32" s="207">
        <f t="shared" ref="D32:N32" si="7">D19</f>
        <v>3917.2000000000116</v>
      </c>
      <c r="E32" s="207">
        <f t="shared" si="7"/>
        <v>11620.600000000006</v>
      </c>
      <c r="F32" s="207">
        <f t="shared" si="7"/>
        <v>17444.799999999988</v>
      </c>
      <c r="G32" s="207">
        <f t="shared" si="7"/>
        <v>18966.299999999988</v>
      </c>
      <c r="H32" s="207">
        <f t="shared" si="7"/>
        <v>28059.699999999983</v>
      </c>
      <c r="I32" s="207">
        <f t="shared" si="7"/>
        <v>31222.199999999983</v>
      </c>
      <c r="J32" s="207">
        <f t="shared" si="7"/>
        <v>31222.199999999983</v>
      </c>
      <c r="K32" s="207">
        <f t="shared" si="7"/>
        <v>31222.199999999983</v>
      </c>
      <c r="L32" s="207">
        <f t="shared" si="7"/>
        <v>31222.199999999983</v>
      </c>
      <c r="M32" s="207">
        <f t="shared" si="7"/>
        <v>38840.699999999953</v>
      </c>
      <c r="N32" s="208">
        <f t="shared" si="7"/>
        <v>38840.699999999953</v>
      </c>
    </row>
    <row r="33" spans="2:14" ht="15.75" thickBot="1" x14ac:dyDescent="0.3"/>
    <row r="34" spans="2:14" ht="16.5" thickBot="1" x14ac:dyDescent="0.3">
      <c r="B34" s="211" t="s">
        <v>317</v>
      </c>
      <c r="C34" s="214">
        <f>NPV(B30, C32:N32)+B32</f>
        <v>37308.656144105771</v>
      </c>
    </row>
    <row r="35" spans="2:14" ht="16.5" thickBot="1" x14ac:dyDescent="0.3">
      <c r="B35" s="211" t="s">
        <v>318</v>
      </c>
      <c r="C35" s="209">
        <f>IRR(B32:N32)</f>
        <v>0.23434739874431565</v>
      </c>
    </row>
    <row r="36" spans="2:14" ht="15.75" thickBot="1" x14ac:dyDescent="0.3"/>
    <row r="37" spans="2:14" ht="15.75" thickBot="1" x14ac:dyDescent="0.3">
      <c r="B37" s="203">
        <f>B13</f>
        <v>-62227.5</v>
      </c>
      <c r="C37" s="206">
        <f>C27</f>
        <v>1948.2861754409732</v>
      </c>
      <c r="D37" s="207">
        <f t="shared" ref="D37:N37" si="8">D27</f>
        <v>2123.9861754409849</v>
      </c>
      <c r="E37" s="207">
        <f t="shared" si="8"/>
        <v>9827.3861754409791</v>
      </c>
      <c r="F37" s="207">
        <f t="shared" si="8"/>
        <v>15651.586175440962</v>
      </c>
      <c r="G37" s="207">
        <f t="shared" si="8"/>
        <v>17173.086175440963</v>
      </c>
      <c r="H37" s="207">
        <f t="shared" si="8"/>
        <v>26266.486175440958</v>
      </c>
      <c r="I37" s="207">
        <f t="shared" si="8"/>
        <v>29428.986175440958</v>
      </c>
      <c r="J37" s="207">
        <f t="shared" si="8"/>
        <v>29428.986175440958</v>
      </c>
      <c r="K37" s="207">
        <f t="shared" si="8"/>
        <v>29428.986175440958</v>
      </c>
      <c r="L37" s="207">
        <f t="shared" si="8"/>
        <v>29428.986175440958</v>
      </c>
      <c r="M37" s="207">
        <f t="shared" si="8"/>
        <v>37047.486175440928</v>
      </c>
      <c r="N37" s="208">
        <f t="shared" si="8"/>
        <v>37047.486175440928</v>
      </c>
    </row>
    <row r="38" spans="2:14" ht="15.75" thickBot="1" x14ac:dyDescent="0.3"/>
    <row r="39" spans="2:14" ht="16.5" thickBot="1" x14ac:dyDescent="0.3">
      <c r="B39" s="210" t="s">
        <v>319</v>
      </c>
      <c r="C39" s="214">
        <f>NPV(B30, C37:N37)+B37</f>
        <v>27588.327217869999</v>
      </c>
    </row>
    <row r="40" spans="2:14" ht="16.5" thickBot="1" x14ac:dyDescent="0.3">
      <c r="B40" s="210" t="s">
        <v>320</v>
      </c>
      <c r="C40" s="209">
        <f>IRR(B37:N37)</f>
        <v>0.21231208745843611</v>
      </c>
    </row>
    <row r="41" spans="2:14" ht="15.75" thickBot="1" x14ac:dyDescent="0.3"/>
    <row r="42" spans="2:14" ht="15.75" x14ac:dyDescent="0.25">
      <c r="B42" s="215" t="s">
        <v>322</v>
      </c>
      <c r="C42" s="217">
        <f>B29/(ABS(B37))</f>
        <v>1.4433462250270379</v>
      </c>
    </row>
    <row r="43" spans="2:14" ht="16.5" thickBot="1" x14ac:dyDescent="0.3">
      <c r="B43" s="216" t="s">
        <v>324</v>
      </c>
      <c r="C43" s="218">
        <f>(ABS(B37))/B29</f>
        <v>0.69283445833051405</v>
      </c>
    </row>
    <row r="44" spans="2:14" ht="15.75" x14ac:dyDescent="0.25">
      <c r="B44" s="221" t="s">
        <v>330</v>
      </c>
      <c r="C44" s="230">
        <f xml:space="preserve"> ((ABS(B37))/(B29/12))</f>
        <v>8.3140134999661672</v>
      </c>
    </row>
    <row r="46" spans="2:14" x14ac:dyDescent="0.25">
      <c r="B46" t="s">
        <v>325</v>
      </c>
      <c r="C46" t="s">
        <v>328</v>
      </c>
    </row>
  </sheetData>
  <mergeCells count="1">
    <mergeCell ref="A6:N6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29"/>
  <sheetViews>
    <sheetView topLeftCell="A12" zoomScale="120" zoomScaleNormal="120" workbookViewId="0">
      <selection activeCell="F4" sqref="F4"/>
    </sheetView>
  </sheetViews>
  <sheetFormatPr baseColWidth="10" defaultRowHeight="15" x14ac:dyDescent="0.25"/>
  <cols>
    <col min="6" max="6" width="16.42578125" customWidth="1"/>
    <col min="7" max="7" width="14.28515625" customWidth="1"/>
    <col min="8" max="8" width="18.28515625" customWidth="1"/>
    <col min="9" max="9" width="14.85546875" customWidth="1"/>
    <col min="10" max="10" width="18.42578125" customWidth="1"/>
  </cols>
  <sheetData>
    <row r="6" spans="2:10" ht="18.75" x14ac:dyDescent="0.3">
      <c r="B6" s="233" t="s">
        <v>71</v>
      </c>
      <c r="C6" s="233"/>
      <c r="D6" s="233"/>
      <c r="E6" s="233"/>
      <c r="F6" s="233"/>
      <c r="G6" s="233"/>
      <c r="H6" s="233"/>
      <c r="I6" s="233"/>
      <c r="J6" s="233"/>
    </row>
    <row r="7" spans="2:10" x14ac:dyDescent="0.25">
      <c r="B7" s="280" t="s">
        <v>72</v>
      </c>
      <c r="C7" s="280"/>
      <c r="D7" s="280"/>
      <c r="E7" s="280"/>
      <c r="F7" s="280"/>
      <c r="G7" s="280"/>
      <c r="H7" s="280"/>
      <c r="I7" s="280"/>
      <c r="J7" s="280"/>
    </row>
    <row r="9" spans="2:10" x14ac:dyDescent="0.25">
      <c r="B9" s="13" t="s">
        <v>57</v>
      </c>
      <c r="C9" s="13"/>
    </row>
    <row r="10" spans="2:10" x14ac:dyDescent="0.25">
      <c r="G10" s="11" t="s">
        <v>76</v>
      </c>
      <c r="I10" s="11" t="s">
        <v>77</v>
      </c>
    </row>
    <row r="11" spans="2:10" ht="45.75" customHeight="1" x14ac:dyDescent="0.25">
      <c r="B11" s="281" t="s">
        <v>58</v>
      </c>
      <c r="C11" s="281"/>
      <c r="D11" s="281"/>
      <c r="E11" s="13" t="s">
        <v>66</v>
      </c>
      <c r="F11" s="23" t="s">
        <v>67</v>
      </c>
      <c r="G11" s="23" t="s">
        <v>68</v>
      </c>
      <c r="H11" s="23" t="s">
        <v>69</v>
      </c>
      <c r="I11" s="23" t="s">
        <v>70</v>
      </c>
      <c r="J11" s="23" t="s">
        <v>74</v>
      </c>
    </row>
    <row r="12" spans="2:10" x14ac:dyDescent="0.25">
      <c r="B12" s="279" t="s">
        <v>59</v>
      </c>
      <c r="C12" s="279"/>
      <c r="D12" s="279"/>
      <c r="E12" s="14">
        <v>1</v>
      </c>
      <c r="F12" s="10">
        <v>2200</v>
      </c>
      <c r="G12" s="15">
        <f>F12*12.8%</f>
        <v>281.60000000000002</v>
      </c>
      <c r="H12" s="15">
        <f>F12-G12</f>
        <v>1918.4</v>
      </c>
      <c r="I12" s="15">
        <f>F12*0.09</f>
        <v>198</v>
      </c>
      <c r="J12" s="15">
        <f>SUM(G12:I12)</f>
        <v>2398</v>
      </c>
    </row>
    <row r="13" spans="2:10" x14ac:dyDescent="0.25">
      <c r="B13" s="279" t="s">
        <v>60</v>
      </c>
      <c r="C13" s="279"/>
      <c r="D13" s="279"/>
      <c r="E13" s="14">
        <v>1</v>
      </c>
      <c r="F13" s="10">
        <v>2200</v>
      </c>
      <c r="G13" s="15">
        <f t="shared" ref="G13:G15" si="0">F13*12.8%</f>
        <v>281.60000000000002</v>
      </c>
      <c r="H13" s="15">
        <f t="shared" ref="H13:H15" si="1">F13-G13</f>
        <v>1918.4</v>
      </c>
      <c r="I13" s="15">
        <f t="shared" ref="I13:I15" si="2">F13*0.09</f>
        <v>198</v>
      </c>
      <c r="J13" s="15">
        <f t="shared" ref="J13:J15" si="3">SUM(G13:I13)</f>
        <v>2398</v>
      </c>
    </row>
    <row r="14" spans="2:10" x14ac:dyDescent="0.25">
      <c r="B14" s="279" t="s">
        <v>228</v>
      </c>
      <c r="C14" s="279"/>
      <c r="D14" s="279"/>
      <c r="E14" s="14">
        <v>2</v>
      </c>
      <c r="F14" s="10">
        <v>2800</v>
      </c>
      <c r="G14" s="15">
        <f t="shared" si="0"/>
        <v>358.40000000000003</v>
      </c>
      <c r="H14" s="15">
        <f t="shared" si="1"/>
        <v>2441.6</v>
      </c>
      <c r="I14" s="15">
        <f t="shared" si="2"/>
        <v>252</v>
      </c>
      <c r="J14" s="15">
        <f t="shared" si="3"/>
        <v>3052</v>
      </c>
    </row>
    <row r="15" spans="2:10" x14ac:dyDescent="0.25">
      <c r="B15" s="279" t="s">
        <v>61</v>
      </c>
      <c r="C15" s="279"/>
      <c r="D15" s="279"/>
      <c r="E15" s="14">
        <v>1</v>
      </c>
      <c r="F15" s="10">
        <v>1800</v>
      </c>
      <c r="G15" s="15">
        <f t="shared" si="0"/>
        <v>230.4</v>
      </c>
      <c r="H15" s="15">
        <f t="shared" si="1"/>
        <v>1569.6</v>
      </c>
      <c r="I15" s="15">
        <f t="shared" si="2"/>
        <v>162</v>
      </c>
      <c r="J15" s="15">
        <f t="shared" si="3"/>
        <v>1962</v>
      </c>
    </row>
    <row r="16" spans="2:10" ht="15.75" x14ac:dyDescent="0.25">
      <c r="B16" s="277" t="s">
        <v>73</v>
      </c>
      <c r="C16" s="277"/>
      <c r="D16" s="277"/>
      <c r="E16" s="25">
        <f t="shared" ref="E16:J16" si="4">SUM(E12:E15)</f>
        <v>5</v>
      </c>
      <c r="F16" s="22">
        <f t="shared" si="4"/>
        <v>9000</v>
      </c>
      <c r="G16" s="22">
        <f t="shared" si="4"/>
        <v>1152.0000000000002</v>
      </c>
      <c r="H16" s="22">
        <f t="shared" si="4"/>
        <v>7848</v>
      </c>
      <c r="I16" s="22">
        <f t="shared" si="4"/>
        <v>810</v>
      </c>
      <c r="J16" s="26">
        <f t="shared" si="4"/>
        <v>9810</v>
      </c>
    </row>
    <row r="19" spans="2:10" x14ac:dyDescent="0.25">
      <c r="B19" s="278" t="s">
        <v>62</v>
      </c>
      <c r="C19" s="278"/>
      <c r="D19" s="278"/>
    </row>
    <row r="20" spans="2:10" x14ac:dyDescent="0.25">
      <c r="G20" s="11" t="s">
        <v>76</v>
      </c>
      <c r="I20" s="11" t="s">
        <v>77</v>
      </c>
    </row>
    <row r="21" spans="2:10" ht="30" x14ac:dyDescent="0.25">
      <c r="B21" s="278" t="s">
        <v>58</v>
      </c>
      <c r="C21" s="278"/>
      <c r="D21" s="278"/>
      <c r="E21" s="13" t="s">
        <v>66</v>
      </c>
      <c r="F21" s="23" t="s">
        <v>67</v>
      </c>
      <c r="G21" s="23" t="s">
        <v>68</v>
      </c>
      <c r="H21" s="23" t="s">
        <v>69</v>
      </c>
      <c r="I21" s="23" t="s">
        <v>70</v>
      </c>
      <c r="J21" s="23" t="s">
        <v>74</v>
      </c>
    </row>
    <row r="22" spans="2:10" x14ac:dyDescent="0.25">
      <c r="B22" s="279" t="s">
        <v>63</v>
      </c>
      <c r="C22" s="279"/>
      <c r="D22" s="279"/>
      <c r="E22" s="14">
        <v>1</v>
      </c>
      <c r="F22" s="10">
        <v>2000</v>
      </c>
      <c r="G22" s="15">
        <f>F22*12.8%</f>
        <v>256</v>
      </c>
      <c r="H22" s="15">
        <f>F22-G22</f>
        <v>1744</v>
      </c>
      <c r="I22" s="15">
        <f>F22*9%</f>
        <v>180</v>
      </c>
      <c r="J22" s="15">
        <f>SUM(G22:I22)</f>
        <v>2180</v>
      </c>
    </row>
    <row r="23" spans="2:10" x14ac:dyDescent="0.25">
      <c r="B23" s="279" t="s">
        <v>64</v>
      </c>
      <c r="C23" s="279"/>
      <c r="D23" s="279"/>
      <c r="E23" s="14">
        <v>1</v>
      </c>
      <c r="F23" s="10">
        <v>1500</v>
      </c>
      <c r="G23" s="15">
        <f t="shared" ref="G23:G24" si="5">F23*12.8%</f>
        <v>192</v>
      </c>
      <c r="H23" s="15">
        <f t="shared" ref="H23:H24" si="6">F23-G23</f>
        <v>1308</v>
      </c>
      <c r="I23" s="15">
        <f t="shared" ref="I23:I24" si="7">F23*9%</f>
        <v>135</v>
      </c>
      <c r="J23" s="15">
        <f>SUM(G23:I23)</f>
        <v>1635</v>
      </c>
    </row>
    <row r="24" spans="2:10" x14ac:dyDescent="0.25">
      <c r="B24" s="279" t="s">
        <v>65</v>
      </c>
      <c r="C24" s="279"/>
      <c r="D24" s="279"/>
      <c r="E24" s="14">
        <v>1</v>
      </c>
      <c r="F24" s="10">
        <v>850</v>
      </c>
      <c r="G24" s="15">
        <f t="shared" si="5"/>
        <v>108.8</v>
      </c>
      <c r="H24" s="15">
        <f t="shared" si="6"/>
        <v>741.2</v>
      </c>
      <c r="I24" s="15">
        <f t="shared" si="7"/>
        <v>76.5</v>
      </c>
      <c r="J24" s="15">
        <f>SUM(G24:I24)</f>
        <v>926.5</v>
      </c>
    </row>
    <row r="25" spans="2:10" ht="15.75" x14ac:dyDescent="0.25">
      <c r="B25" s="277" t="s">
        <v>75</v>
      </c>
      <c r="C25" s="277"/>
      <c r="D25" s="277"/>
      <c r="E25" s="25">
        <f t="shared" ref="E25:J25" si="8">SUM(E22:E24)</f>
        <v>3</v>
      </c>
      <c r="F25" s="22">
        <f t="shared" si="8"/>
        <v>4350</v>
      </c>
      <c r="G25" s="22">
        <f t="shared" si="8"/>
        <v>556.79999999999995</v>
      </c>
      <c r="H25" s="22">
        <f t="shared" si="8"/>
        <v>3793.2</v>
      </c>
      <c r="I25" s="22">
        <f t="shared" si="8"/>
        <v>391.5</v>
      </c>
      <c r="J25" s="26">
        <f t="shared" si="8"/>
        <v>4741.5</v>
      </c>
    </row>
    <row r="27" spans="2:10" ht="28.5" customHeight="1" x14ac:dyDescent="0.25">
      <c r="B27" s="277" t="s">
        <v>78</v>
      </c>
      <c r="C27" s="277"/>
      <c r="D27" s="277"/>
      <c r="E27" s="27">
        <f>E16+E25</f>
        <v>8</v>
      </c>
      <c r="F27" s="28">
        <f t="shared" ref="F27:J27" si="9">F16+F25</f>
        <v>13350</v>
      </c>
      <c r="G27" s="28">
        <f t="shared" si="9"/>
        <v>1708.8000000000002</v>
      </c>
      <c r="H27" s="28">
        <f t="shared" si="9"/>
        <v>11641.2</v>
      </c>
      <c r="I27" s="28">
        <f t="shared" si="9"/>
        <v>1201.5</v>
      </c>
      <c r="J27" s="29">
        <f t="shared" si="9"/>
        <v>14551.5</v>
      </c>
    </row>
    <row r="29" spans="2:10" x14ac:dyDescent="0.25">
      <c r="B29" t="s">
        <v>211</v>
      </c>
    </row>
  </sheetData>
  <mergeCells count="15">
    <mergeCell ref="B6:J6"/>
    <mergeCell ref="B7:J7"/>
    <mergeCell ref="B16:D16"/>
    <mergeCell ref="B11:D11"/>
    <mergeCell ref="B12:D12"/>
    <mergeCell ref="B13:D13"/>
    <mergeCell ref="B14:D14"/>
    <mergeCell ref="B15:D15"/>
    <mergeCell ref="B25:D25"/>
    <mergeCell ref="B19:D19"/>
    <mergeCell ref="B27:D27"/>
    <mergeCell ref="B23:D23"/>
    <mergeCell ref="B24:D24"/>
    <mergeCell ref="B21:D21"/>
    <mergeCell ref="B22:D2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37"/>
  <sheetViews>
    <sheetView zoomScale="130" zoomScaleNormal="130" workbookViewId="0">
      <selection activeCell="E23" sqref="E23"/>
    </sheetView>
  </sheetViews>
  <sheetFormatPr baseColWidth="10" defaultRowHeight="15" x14ac:dyDescent="0.25"/>
  <cols>
    <col min="1" max="1" width="6.85546875" customWidth="1"/>
    <col min="2" max="2" width="14" customWidth="1"/>
    <col min="3" max="3" width="15.28515625" customWidth="1"/>
    <col min="4" max="4" width="14.7109375" customWidth="1"/>
    <col min="5" max="5" width="13.140625" customWidth="1"/>
    <col min="6" max="6" width="15.28515625" customWidth="1"/>
    <col min="7" max="7" width="15.5703125" customWidth="1"/>
    <col min="8" max="8" width="13.5703125" customWidth="1"/>
    <col min="9" max="9" width="12.85546875" bestFit="1" customWidth="1"/>
  </cols>
  <sheetData>
    <row r="7" spans="2:8" ht="18.75" x14ac:dyDescent="0.3">
      <c r="B7" s="233" t="s">
        <v>90</v>
      </c>
      <c r="C7" s="233"/>
      <c r="D7" s="233"/>
      <c r="E7" s="233"/>
      <c r="F7" s="233"/>
      <c r="G7" s="233"/>
      <c r="H7" s="233"/>
    </row>
    <row r="8" spans="2:8" x14ac:dyDescent="0.25">
      <c r="B8" s="267" t="s">
        <v>91</v>
      </c>
      <c r="C8" s="267"/>
      <c r="D8" s="267"/>
      <c r="E8" s="267"/>
      <c r="F8" s="267"/>
      <c r="G8" s="267"/>
      <c r="H8" s="267"/>
    </row>
    <row r="9" spans="2:8" ht="15.75" thickBot="1" x14ac:dyDescent="0.3">
      <c r="B9" s="37"/>
      <c r="C9" s="37"/>
      <c r="D9" s="37"/>
      <c r="E9" s="37"/>
      <c r="F9" s="37"/>
      <c r="G9" s="37"/>
      <c r="H9" s="37"/>
    </row>
    <row r="10" spans="2:8" x14ac:dyDescent="0.25">
      <c r="B10" s="44" t="s">
        <v>79</v>
      </c>
      <c r="C10" s="40">
        <f>'INVERSION INICIAL'!E93</f>
        <v>20000</v>
      </c>
    </row>
    <row r="11" spans="2:8" x14ac:dyDescent="0.25">
      <c r="B11" s="45" t="s">
        <v>80</v>
      </c>
      <c r="C11" s="41">
        <v>0.13</v>
      </c>
      <c r="D11" s="38">
        <v>0.14000000000000001</v>
      </c>
    </row>
    <row r="12" spans="2:8" x14ac:dyDescent="0.25">
      <c r="B12" s="45" t="s">
        <v>92</v>
      </c>
      <c r="C12" s="47">
        <v>5.5799999999999999E-3</v>
      </c>
      <c r="D12" s="38">
        <v>5.5799999999999999E-3</v>
      </c>
    </row>
    <row r="13" spans="2:8" x14ac:dyDescent="0.25">
      <c r="B13" s="45" t="s">
        <v>81</v>
      </c>
      <c r="C13" s="42">
        <f>(((1+C11)^(1/12))-1)</f>
        <v>1.02368443581764E-2</v>
      </c>
      <c r="D13" s="39">
        <f>(((1+D11)^(1/12))-1)</f>
        <v>1.0978851950173452E-2</v>
      </c>
    </row>
    <row r="14" spans="2:8" x14ac:dyDescent="0.25">
      <c r="B14" s="45" t="s">
        <v>93</v>
      </c>
      <c r="C14" s="42">
        <f>(((1+C12)^(1/12))-1)</f>
        <v>4.6381498495673412E-4</v>
      </c>
      <c r="D14" s="39">
        <f>(((1+D12)^(1/12))-1)</f>
        <v>4.6381498495673412E-4</v>
      </c>
    </row>
    <row r="15" spans="2:8" x14ac:dyDescent="0.25">
      <c r="B15" s="45" t="s">
        <v>94</v>
      </c>
      <c r="C15" s="42">
        <f>SUM(C13:C14)</f>
        <v>1.0700659343133134E-2</v>
      </c>
      <c r="D15" s="39">
        <f>SUM(D13:D14)</f>
        <v>1.1442666935130186E-2</v>
      </c>
    </row>
    <row r="16" spans="2:8" x14ac:dyDescent="0.25">
      <c r="B16" s="45" t="s">
        <v>83</v>
      </c>
      <c r="C16" s="43">
        <v>12</v>
      </c>
    </row>
    <row r="17" spans="2:8" ht="16.5" thickBot="1" x14ac:dyDescent="0.3">
      <c r="B17" s="46" t="s">
        <v>82</v>
      </c>
      <c r="C17" s="48">
        <f>C10*((D15*((1+D15)^C16))/(((1+D15)^C16)-1))</f>
        <v>1793.2138245590268</v>
      </c>
    </row>
    <row r="21" spans="2:8" ht="30.75" thickBot="1" x14ac:dyDescent="0.3">
      <c r="B21" s="36" t="s">
        <v>84</v>
      </c>
      <c r="C21" s="36" t="s">
        <v>85</v>
      </c>
      <c r="D21" s="36" t="s">
        <v>86</v>
      </c>
      <c r="E21" s="23" t="s">
        <v>95</v>
      </c>
      <c r="F21" s="36" t="s">
        <v>87</v>
      </c>
      <c r="G21" s="23" t="s">
        <v>88</v>
      </c>
      <c r="H21" s="23" t="s">
        <v>89</v>
      </c>
    </row>
    <row r="22" spans="2:8" x14ac:dyDescent="0.25">
      <c r="B22" s="49">
        <v>0</v>
      </c>
      <c r="C22" s="50">
        <f>C10</f>
        <v>20000</v>
      </c>
      <c r="D22" s="51"/>
      <c r="E22" s="51"/>
      <c r="F22" s="50"/>
      <c r="G22" s="52"/>
      <c r="H22" s="53"/>
    </row>
    <row r="23" spans="2:8" x14ac:dyDescent="0.25">
      <c r="B23" s="54">
        <v>1</v>
      </c>
      <c r="C23" s="15">
        <f>C22-D23</f>
        <v>18435.639514143579</v>
      </c>
      <c r="D23" s="15">
        <f>F23-E23</f>
        <v>1564.3604858564231</v>
      </c>
      <c r="E23" s="15">
        <f>C22*D$15</f>
        <v>228.85333870260371</v>
      </c>
      <c r="F23" s="15">
        <f>C$17</f>
        <v>1793.2138245590268</v>
      </c>
      <c r="G23" s="55"/>
      <c r="H23" s="56"/>
    </row>
    <row r="24" spans="2:8" x14ac:dyDescent="0.25">
      <c r="B24" s="54">
        <v>2</v>
      </c>
      <c r="C24" s="15">
        <f>C23-D24</f>
        <v>16853.378572281021</v>
      </c>
      <c r="D24" s="15">
        <f t="shared" ref="D24:D34" si="0">F24-E24</f>
        <v>1582.2609418625566</v>
      </c>
      <c r="E24" s="15">
        <f t="shared" ref="E24:E34" si="1">C23*D$15</f>
        <v>210.95288269647025</v>
      </c>
      <c r="F24" s="15">
        <f t="shared" ref="F24:F34" si="2">C$17</f>
        <v>1793.2138245590268</v>
      </c>
      <c r="G24" s="55"/>
      <c r="H24" s="56"/>
    </row>
    <row r="25" spans="2:8" x14ac:dyDescent="0.25">
      <c r="B25" s="54">
        <v>3</v>
      </c>
      <c r="C25" s="15">
        <f t="shared" ref="C25:C34" si="3">C24-D25</f>
        <v>15253.012345456265</v>
      </c>
      <c r="D25" s="15">
        <f t="shared" si="0"/>
        <v>1600.3662268247551</v>
      </c>
      <c r="E25" s="15">
        <f t="shared" si="1"/>
        <v>192.8475977342716</v>
      </c>
      <c r="F25" s="15">
        <f t="shared" si="2"/>
        <v>1793.2138245590268</v>
      </c>
      <c r="G25" s="55"/>
      <c r="H25" s="56"/>
    </row>
    <row r="26" spans="2:8" x14ac:dyDescent="0.25">
      <c r="B26" s="54">
        <v>4</v>
      </c>
      <c r="C26" s="15">
        <f t="shared" si="3"/>
        <v>13634.333660923723</v>
      </c>
      <c r="D26" s="15">
        <f t="shared" si="0"/>
        <v>1618.6786845325419</v>
      </c>
      <c r="E26" s="15">
        <f t="shared" si="1"/>
        <v>174.53514002648492</v>
      </c>
      <c r="F26" s="15">
        <f t="shared" si="2"/>
        <v>1793.2138245590268</v>
      </c>
      <c r="G26" s="55"/>
      <c r="H26" s="56"/>
    </row>
    <row r="27" spans="2:8" x14ac:dyDescent="0.25">
      <c r="B27" s="54">
        <v>5</v>
      </c>
      <c r="C27" s="15">
        <f t="shared" si="3"/>
        <v>11997.132975329081</v>
      </c>
      <c r="D27" s="15">
        <f t="shared" si="0"/>
        <v>1637.2006855946424</v>
      </c>
      <c r="E27" s="15">
        <f t="shared" si="1"/>
        <v>156.01313896438438</v>
      </c>
      <c r="F27" s="15">
        <f t="shared" si="2"/>
        <v>1793.2138245590268</v>
      </c>
      <c r="G27" s="55"/>
      <c r="H27" s="56"/>
    </row>
    <row r="28" spans="2:8" x14ac:dyDescent="0.25">
      <c r="B28" s="54">
        <v>6</v>
      </c>
      <c r="C28" s="15">
        <f t="shared" si="3"/>
        <v>10341.198347583213</v>
      </c>
      <c r="D28" s="15">
        <f t="shared" si="0"/>
        <v>1655.9346277458687</v>
      </c>
      <c r="E28" s="15">
        <f t="shared" si="1"/>
        <v>137.27919681315811</v>
      </c>
      <c r="F28" s="15">
        <f t="shared" si="2"/>
        <v>1793.2138245590268</v>
      </c>
      <c r="G28" s="55"/>
      <c r="H28" s="56"/>
    </row>
    <row r="29" spans="2:8" x14ac:dyDescent="0.25">
      <c r="B29" s="54">
        <v>7</v>
      </c>
      <c r="C29" s="15">
        <f t="shared" si="3"/>
        <v>8666.3154114256995</v>
      </c>
      <c r="D29" s="15">
        <f t="shared" si="0"/>
        <v>1674.8829361575133</v>
      </c>
      <c r="E29" s="15">
        <f t="shared" si="1"/>
        <v>118.33088840151335</v>
      </c>
      <c r="F29" s="15">
        <f t="shared" si="2"/>
        <v>1793.2138245590268</v>
      </c>
      <c r="G29" s="55"/>
      <c r="H29" s="56"/>
    </row>
    <row r="30" spans="2:8" x14ac:dyDescent="0.25">
      <c r="B30" s="54">
        <v>8</v>
      </c>
      <c r="C30" s="15">
        <f t="shared" si="3"/>
        <v>6972.267347674403</v>
      </c>
      <c r="D30" s="15">
        <f t="shared" si="0"/>
        <v>1694.0480637512967</v>
      </c>
      <c r="E30" s="15">
        <f t="shared" si="1"/>
        <v>99.16576080773001</v>
      </c>
      <c r="F30" s="15">
        <f t="shared" si="2"/>
        <v>1793.2138245590268</v>
      </c>
      <c r="G30" s="55"/>
      <c r="H30" s="56"/>
    </row>
    <row r="31" spans="2:8" x14ac:dyDescent="0.25">
      <c r="B31" s="54">
        <v>9</v>
      </c>
      <c r="C31" s="15">
        <f t="shared" si="3"/>
        <v>5258.8348561574985</v>
      </c>
      <c r="D31" s="15">
        <f t="shared" si="0"/>
        <v>1713.432491516905</v>
      </c>
      <c r="E31" s="15">
        <f t="shared" si="1"/>
        <v>79.78133304212173</v>
      </c>
      <c r="F31" s="15">
        <f t="shared" si="2"/>
        <v>1793.2138245590268</v>
      </c>
      <c r="G31" s="55"/>
      <c r="H31" s="56"/>
    </row>
    <row r="32" spans="2:8" x14ac:dyDescent="0.25">
      <c r="B32" s="54">
        <v>10</v>
      </c>
      <c r="C32" s="15">
        <f t="shared" si="3"/>
        <v>3525.7961273243354</v>
      </c>
      <c r="D32" s="15">
        <f t="shared" si="0"/>
        <v>1733.0387288331633</v>
      </c>
      <c r="E32" s="15">
        <f t="shared" si="1"/>
        <v>60.175095725863514</v>
      </c>
      <c r="F32" s="15">
        <f t="shared" si="2"/>
        <v>1793.2138245590268</v>
      </c>
      <c r="G32" s="55"/>
      <c r="H32" s="56"/>
    </row>
    <row r="33" spans="2:9" x14ac:dyDescent="0.25">
      <c r="B33" s="54">
        <v>11</v>
      </c>
      <c r="C33" s="15">
        <f t="shared" si="3"/>
        <v>1772.9268135314528</v>
      </c>
      <c r="D33" s="15">
        <f t="shared" si="0"/>
        <v>1752.8693137928826</v>
      </c>
      <c r="E33" s="15">
        <f t="shared" si="1"/>
        <v>40.344510766144232</v>
      </c>
      <c r="F33" s="15">
        <f t="shared" si="2"/>
        <v>1793.2138245590268</v>
      </c>
      <c r="G33" s="55"/>
      <c r="H33" s="56"/>
    </row>
    <row r="34" spans="2:9" x14ac:dyDescent="0.25">
      <c r="B34" s="57">
        <v>12</v>
      </c>
      <c r="C34" s="22">
        <f t="shared" si="3"/>
        <v>2.8194335754960775E-11</v>
      </c>
      <c r="D34" s="22">
        <f t="shared" si="0"/>
        <v>1772.9268135314246</v>
      </c>
      <c r="E34" s="22">
        <f t="shared" si="1"/>
        <v>20.287011027602077</v>
      </c>
      <c r="F34" s="22">
        <f t="shared" si="2"/>
        <v>1793.2138245590268</v>
      </c>
      <c r="G34" s="22">
        <f>SUM(D23:D34)</f>
        <v>19999.999999999971</v>
      </c>
      <c r="H34" s="58">
        <f>SUM(E23:E34)</f>
        <v>1518.565894708348</v>
      </c>
      <c r="I34" s="67"/>
    </row>
    <row r="35" spans="2:9" ht="19.5" customHeight="1" thickBot="1" x14ac:dyDescent="0.3">
      <c r="B35" s="282" t="s">
        <v>96</v>
      </c>
      <c r="C35" s="283"/>
      <c r="D35" s="59">
        <f>SUM(D23:D34)</f>
        <v>19999.999999999971</v>
      </c>
      <c r="E35" s="59">
        <f>SUM(E23:E34)</f>
        <v>1518.565894708348</v>
      </c>
      <c r="F35" s="59">
        <f>SUM(F23:F34)</f>
        <v>21518.565894708321</v>
      </c>
      <c r="G35" s="60">
        <f>SUM(G23:G34)</f>
        <v>19999.999999999971</v>
      </c>
      <c r="H35" s="61">
        <f>SUM(H23:H34)</f>
        <v>1518.565894708348</v>
      </c>
    </row>
    <row r="37" spans="2:9" x14ac:dyDescent="0.25">
      <c r="B37" t="s">
        <v>214</v>
      </c>
    </row>
  </sheetData>
  <mergeCells count="3">
    <mergeCell ref="B7:H7"/>
    <mergeCell ref="B8:H8"/>
    <mergeCell ref="B35:C35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264"/>
  <sheetViews>
    <sheetView topLeftCell="A2" zoomScale="130" zoomScaleNormal="130" workbookViewId="0">
      <selection activeCell="B2" sqref="B2"/>
    </sheetView>
  </sheetViews>
  <sheetFormatPr baseColWidth="10" defaultRowHeight="15" x14ac:dyDescent="0.25"/>
  <cols>
    <col min="1" max="1" width="2.5703125" customWidth="1"/>
    <col min="2" max="2" width="9.28515625" customWidth="1"/>
    <col min="3" max="3" width="14.5703125" customWidth="1"/>
    <col min="4" max="4" width="41.7109375" customWidth="1"/>
    <col min="5" max="5" width="14.140625" customWidth="1"/>
    <col min="6" max="6" width="16.85546875" customWidth="1"/>
  </cols>
  <sheetData>
    <row r="6" spans="2:6" ht="15.75" x14ac:dyDescent="0.25">
      <c r="B6" s="285" t="s">
        <v>98</v>
      </c>
      <c r="C6" s="286"/>
      <c r="D6" s="286"/>
      <c r="E6" s="286"/>
      <c r="F6" s="287"/>
    </row>
    <row r="7" spans="2:6" x14ac:dyDescent="0.25">
      <c r="B7" s="280" t="s">
        <v>103</v>
      </c>
      <c r="C7" s="280"/>
      <c r="D7" s="280"/>
      <c r="E7" s="280"/>
      <c r="F7" s="280"/>
    </row>
    <row r="12" spans="2:6" x14ac:dyDescent="0.25">
      <c r="D12" s="16" t="s">
        <v>128</v>
      </c>
    </row>
    <row r="13" spans="2:6" x14ac:dyDescent="0.25">
      <c r="B13" s="267" t="s">
        <v>102</v>
      </c>
      <c r="C13" s="267"/>
      <c r="D13" s="267"/>
      <c r="E13" s="267"/>
      <c r="F13" s="267"/>
    </row>
    <row r="14" spans="2:6" x14ac:dyDescent="0.25">
      <c r="B14" s="24" t="s">
        <v>0</v>
      </c>
      <c r="C14" s="36" t="s">
        <v>109</v>
      </c>
      <c r="D14" s="24" t="s">
        <v>99</v>
      </c>
      <c r="E14" s="24" t="s">
        <v>100</v>
      </c>
      <c r="F14" s="24" t="s">
        <v>101</v>
      </c>
    </row>
    <row r="15" spans="2:6" x14ac:dyDescent="0.25">
      <c r="B15" s="65">
        <v>4</v>
      </c>
      <c r="C15" s="65" t="s">
        <v>104</v>
      </c>
      <c r="D15" t="s">
        <v>110</v>
      </c>
      <c r="E15" s="66">
        <v>100</v>
      </c>
      <c r="F15" s="66">
        <f>B15*E15</f>
        <v>400</v>
      </c>
    </row>
    <row r="16" spans="2:6" x14ac:dyDescent="0.25">
      <c r="B16" s="65">
        <v>12</v>
      </c>
      <c r="C16" s="65" t="s">
        <v>108</v>
      </c>
      <c r="D16" t="s">
        <v>105</v>
      </c>
      <c r="E16" s="66">
        <v>0.1</v>
      </c>
      <c r="F16" s="67">
        <f>B16*E16</f>
        <v>1.2000000000000002</v>
      </c>
    </row>
    <row r="17" spans="2:6" x14ac:dyDescent="0.25">
      <c r="B17" s="65">
        <v>12</v>
      </c>
      <c r="C17" s="65" t="s">
        <v>106</v>
      </c>
      <c r="D17" t="s">
        <v>107</v>
      </c>
      <c r="E17" s="66">
        <v>0.2</v>
      </c>
      <c r="F17" s="67">
        <f>B17*E17</f>
        <v>2.4000000000000004</v>
      </c>
    </row>
    <row r="18" spans="2:6" x14ac:dyDescent="0.25">
      <c r="B18" s="65">
        <v>1</v>
      </c>
      <c r="C18" s="128" t="s">
        <v>233</v>
      </c>
      <c r="D18" t="s">
        <v>234</v>
      </c>
      <c r="E18" s="66">
        <f>F20*4%</f>
        <v>100</v>
      </c>
      <c r="F18" s="67">
        <f>B18*E18</f>
        <v>100</v>
      </c>
    </row>
    <row r="19" spans="2:6" ht="15.75" x14ac:dyDescent="0.25">
      <c r="B19" s="288" t="s">
        <v>111</v>
      </c>
      <c r="C19" s="288"/>
      <c r="D19" s="288"/>
      <c r="E19" s="288"/>
      <c r="F19" s="70">
        <f>SUM(F15:F18)</f>
        <v>503.59999999999997</v>
      </c>
    </row>
    <row r="20" spans="2:6" x14ac:dyDescent="0.25">
      <c r="B20" s="289" t="s">
        <v>112</v>
      </c>
      <c r="C20" s="289"/>
      <c r="D20" s="289"/>
      <c r="E20" s="289"/>
      <c r="F20" s="68">
        <v>2500</v>
      </c>
    </row>
    <row r="21" spans="2:6" x14ac:dyDescent="0.25">
      <c r="D21" s="284" t="s">
        <v>121</v>
      </c>
      <c r="E21" s="284"/>
      <c r="F21" s="69">
        <f>F20-F19</f>
        <v>1996.4</v>
      </c>
    </row>
    <row r="22" spans="2:6" x14ac:dyDescent="0.25">
      <c r="B22" t="s">
        <v>211</v>
      </c>
    </row>
    <row r="26" spans="2:6" x14ac:dyDescent="0.25">
      <c r="D26" s="16" t="s">
        <v>127</v>
      </c>
    </row>
    <row r="27" spans="2:6" x14ac:dyDescent="0.25">
      <c r="B27" s="267" t="s">
        <v>126</v>
      </c>
      <c r="C27" s="267"/>
      <c r="D27" s="267"/>
      <c r="E27" s="267"/>
      <c r="F27" s="267"/>
    </row>
    <row r="28" spans="2:6" x14ac:dyDescent="0.25">
      <c r="B28" s="24" t="s">
        <v>0</v>
      </c>
      <c r="C28" s="36" t="s">
        <v>109</v>
      </c>
      <c r="D28" s="24" t="s">
        <v>99</v>
      </c>
      <c r="E28" s="24" t="s">
        <v>100</v>
      </c>
      <c r="F28" s="24" t="s">
        <v>101</v>
      </c>
    </row>
    <row r="29" spans="2:6" x14ac:dyDescent="0.25">
      <c r="B29" s="65">
        <v>4</v>
      </c>
      <c r="C29" s="65" t="s">
        <v>104</v>
      </c>
      <c r="D29" t="s">
        <v>110</v>
      </c>
      <c r="E29" s="66">
        <v>100</v>
      </c>
      <c r="F29" s="66">
        <f>B29*E29</f>
        <v>400</v>
      </c>
    </row>
    <row r="30" spans="2:6" x14ac:dyDescent="0.25">
      <c r="B30" s="65">
        <v>12</v>
      </c>
      <c r="C30" s="65" t="s">
        <v>108</v>
      </c>
      <c r="D30" t="s">
        <v>105</v>
      </c>
      <c r="E30" s="66">
        <v>0.1</v>
      </c>
      <c r="F30" s="67">
        <f>B30*E30</f>
        <v>1.2000000000000002</v>
      </c>
    </row>
    <row r="31" spans="2:6" x14ac:dyDescent="0.25">
      <c r="B31" s="65">
        <v>12</v>
      </c>
      <c r="C31" s="65" t="s">
        <v>106</v>
      </c>
      <c r="D31" t="s">
        <v>107</v>
      </c>
      <c r="E31" s="66">
        <v>0.2</v>
      </c>
      <c r="F31" s="67">
        <f>B31*E31</f>
        <v>2.4000000000000004</v>
      </c>
    </row>
    <row r="32" spans="2:6" x14ac:dyDescent="0.25">
      <c r="B32" s="65">
        <v>1</v>
      </c>
      <c r="C32" s="128" t="s">
        <v>233</v>
      </c>
      <c r="D32" t="s">
        <v>234</v>
      </c>
      <c r="E32" s="66">
        <f>F34*4%</f>
        <v>96</v>
      </c>
      <c r="F32" s="67">
        <f>B32*E32</f>
        <v>96</v>
      </c>
    </row>
    <row r="33" spans="2:6" ht="15.75" x14ac:dyDescent="0.25">
      <c r="B33" s="288" t="s">
        <v>111</v>
      </c>
      <c r="C33" s="288"/>
      <c r="D33" s="288"/>
      <c r="E33" s="288"/>
      <c r="F33" s="70">
        <f>SUM(F29:F32)</f>
        <v>499.59999999999997</v>
      </c>
    </row>
    <row r="34" spans="2:6" x14ac:dyDescent="0.25">
      <c r="B34" s="289" t="s">
        <v>112</v>
      </c>
      <c r="C34" s="289"/>
      <c r="D34" s="289"/>
      <c r="E34" s="289"/>
      <c r="F34" s="68">
        <v>2400</v>
      </c>
    </row>
    <row r="35" spans="2:6" x14ac:dyDescent="0.25">
      <c r="D35" s="284" t="s">
        <v>121</v>
      </c>
      <c r="E35" s="284"/>
      <c r="F35" s="69">
        <f>F34-F33</f>
        <v>1900.4</v>
      </c>
    </row>
    <row r="36" spans="2:6" x14ac:dyDescent="0.25">
      <c r="B36" t="s">
        <v>211</v>
      </c>
    </row>
    <row r="40" spans="2:6" x14ac:dyDescent="0.25">
      <c r="D40" s="16" t="s">
        <v>124</v>
      </c>
    </row>
    <row r="41" spans="2:6" ht="24" customHeight="1" x14ac:dyDescent="0.25">
      <c r="B41" s="290" t="s">
        <v>125</v>
      </c>
      <c r="C41" s="290"/>
      <c r="D41" s="290"/>
      <c r="E41" s="290"/>
      <c r="F41" s="290"/>
    </row>
    <row r="42" spans="2:6" x14ac:dyDescent="0.25">
      <c r="B42" s="24" t="s">
        <v>0</v>
      </c>
      <c r="C42" s="36" t="s">
        <v>109</v>
      </c>
      <c r="D42" s="24" t="s">
        <v>99</v>
      </c>
      <c r="E42" s="24" t="s">
        <v>100</v>
      </c>
      <c r="F42" s="24" t="s">
        <v>101</v>
      </c>
    </row>
    <row r="43" spans="2:6" x14ac:dyDescent="0.25">
      <c r="B43" s="65">
        <v>3</v>
      </c>
      <c r="C43" s="65" t="s">
        <v>104</v>
      </c>
      <c r="D43" t="s">
        <v>113</v>
      </c>
      <c r="E43" s="66">
        <v>100</v>
      </c>
      <c r="F43" s="66">
        <f t="shared" ref="F43:F51" si="0">B43*E43</f>
        <v>300</v>
      </c>
    </row>
    <row r="44" spans="2:6" x14ac:dyDescent="0.25">
      <c r="B44" s="65">
        <v>2</v>
      </c>
      <c r="C44" s="65" t="s">
        <v>104</v>
      </c>
      <c r="D44" t="s">
        <v>114</v>
      </c>
      <c r="E44" s="66">
        <v>100</v>
      </c>
      <c r="F44" s="66">
        <f t="shared" si="0"/>
        <v>200</v>
      </c>
    </row>
    <row r="45" spans="2:6" x14ac:dyDescent="0.25">
      <c r="B45" s="65">
        <v>1</v>
      </c>
      <c r="C45" s="65" t="s">
        <v>119</v>
      </c>
      <c r="D45" t="s">
        <v>120</v>
      </c>
      <c r="E45" s="66">
        <v>2000</v>
      </c>
      <c r="F45" s="66">
        <f t="shared" si="0"/>
        <v>2000</v>
      </c>
    </row>
    <row r="46" spans="2:6" x14ac:dyDescent="0.25">
      <c r="B46" s="65">
        <v>12</v>
      </c>
      <c r="C46" s="65" t="s">
        <v>116</v>
      </c>
      <c r="D46" t="s">
        <v>115</v>
      </c>
      <c r="E46" s="66">
        <v>0.1</v>
      </c>
      <c r="F46" s="67">
        <f t="shared" si="0"/>
        <v>1.2000000000000002</v>
      </c>
    </row>
    <row r="47" spans="2:6" x14ac:dyDescent="0.25">
      <c r="B47" s="65">
        <v>12</v>
      </c>
      <c r="C47" s="65" t="s">
        <v>106</v>
      </c>
      <c r="D47" t="s">
        <v>107</v>
      </c>
      <c r="E47" s="66">
        <v>0.2</v>
      </c>
      <c r="F47" s="67">
        <f t="shared" si="0"/>
        <v>2.4000000000000004</v>
      </c>
    </row>
    <row r="48" spans="2:6" x14ac:dyDescent="0.25">
      <c r="B48" s="65">
        <v>15</v>
      </c>
      <c r="C48" s="65" t="s">
        <v>117</v>
      </c>
      <c r="D48" t="s">
        <v>118</v>
      </c>
      <c r="E48" s="66">
        <v>6</v>
      </c>
      <c r="F48" s="67">
        <f t="shared" si="0"/>
        <v>90</v>
      </c>
    </row>
    <row r="49" spans="2:6" x14ac:dyDescent="0.25">
      <c r="B49" s="65">
        <v>4</v>
      </c>
      <c r="C49" s="65" t="s">
        <v>123</v>
      </c>
      <c r="D49" t="s">
        <v>122</v>
      </c>
      <c r="E49" s="66">
        <v>15</v>
      </c>
      <c r="F49" s="67">
        <f t="shared" si="0"/>
        <v>60</v>
      </c>
    </row>
    <row r="50" spans="2:6" x14ac:dyDescent="0.25">
      <c r="B50" s="65">
        <v>1</v>
      </c>
      <c r="C50" s="128" t="s">
        <v>233</v>
      </c>
      <c r="D50" t="s">
        <v>235</v>
      </c>
      <c r="E50" s="66">
        <f>F53*4%</f>
        <v>200</v>
      </c>
      <c r="F50" s="67">
        <f t="shared" si="0"/>
        <v>200</v>
      </c>
    </row>
    <row r="51" spans="2:6" x14ac:dyDescent="0.25">
      <c r="B51" s="65">
        <v>1</v>
      </c>
      <c r="C51" s="128" t="s">
        <v>233</v>
      </c>
      <c r="D51" t="s">
        <v>236</v>
      </c>
      <c r="E51" s="66">
        <f>F53*4%</f>
        <v>200</v>
      </c>
      <c r="F51" s="67">
        <f t="shared" si="0"/>
        <v>200</v>
      </c>
    </row>
    <row r="52" spans="2:6" ht="15.75" x14ac:dyDescent="0.25">
      <c r="B52" s="288" t="s">
        <v>111</v>
      </c>
      <c r="C52" s="288"/>
      <c r="D52" s="288"/>
      <c r="E52" s="288"/>
      <c r="F52" s="70">
        <f>SUM(F43:F51)</f>
        <v>3053.6</v>
      </c>
    </row>
    <row r="53" spans="2:6" x14ac:dyDescent="0.25">
      <c r="B53" s="289" t="s">
        <v>112</v>
      </c>
      <c r="C53" s="289"/>
      <c r="D53" s="289"/>
      <c r="E53" s="289"/>
      <c r="F53" s="68">
        <v>5000</v>
      </c>
    </row>
    <row r="54" spans="2:6" x14ac:dyDescent="0.25">
      <c r="D54" s="284" t="s">
        <v>121</v>
      </c>
      <c r="E54" s="284"/>
      <c r="F54" s="69">
        <f>F53-F52</f>
        <v>1946.4</v>
      </c>
    </row>
    <row r="55" spans="2:6" x14ac:dyDescent="0.25">
      <c r="B55" t="s">
        <v>211</v>
      </c>
    </row>
    <row r="64" spans="2:6" x14ac:dyDescent="0.25">
      <c r="D64" s="16" t="s">
        <v>129</v>
      </c>
    </row>
    <row r="65" spans="2:6" ht="30" customHeight="1" x14ac:dyDescent="0.25">
      <c r="B65" s="290" t="s">
        <v>130</v>
      </c>
      <c r="C65" s="290"/>
      <c r="D65" s="290"/>
      <c r="E65" s="290"/>
      <c r="F65" s="290"/>
    </row>
    <row r="66" spans="2:6" x14ac:dyDescent="0.25">
      <c r="B66" s="24" t="s">
        <v>0</v>
      </c>
      <c r="C66" s="36" t="s">
        <v>109</v>
      </c>
      <c r="D66" s="24" t="s">
        <v>99</v>
      </c>
      <c r="E66" s="24" t="s">
        <v>100</v>
      </c>
      <c r="F66" s="24" t="s">
        <v>101</v>
      </c>
    </row>
    <row r="67" spans="2:6" x14ac:dyDescent="0.25">
      <c r="B67" s="65">
        <v>3</v>
      </c>
      <c r="C67" s="65" t="s">
        <v>104</v>
      </c>
      <c r="D67" t="s">
        <v>113</v>
      </c>
      <c r="E67" s="66">
        <v>100</v>
      </c>
      <c r="F67" s="66">
        <f>B67*E67</f>
        <v>300</v>
      </c>
    </row>
    <row r="68" spans="2:6" x14ac:dyDescent="0.25">
      <c r="B68" s="65">
        <v>1</v>
      </c>
      <c r="C68" s="65" t="s">
        <v>119</v>
      </c>
      <c r="D68" t="s">
        <v>120</v>
      </c>
      <c r="E68" s="66">
        <v>1100</v>
      </c>
      <c r="F68" s="66">
        <f>B68*E68</f>
        <v>1100</v>
      </c>
    </row>
    <row r="69" spans="2:6" x14ac:dyDescent="0.25">
      <c r="B69" s="65">
        <v>1</v>
      </c>
      <c r="C69" s="71" t="s">
        <v>119</v>
      </c>
      <c r="D69" t="s">
        <v>133</v>
      </c>
      <c r="E69" s="66">
        <v>600</v>
      </c>
      <c r="F69" s="66">
        <f t="shared" ref="F69:F70" si="1">B69*E69</f>
        <v>600</v>
      </c>
    </row>
    <row r="70" spans="2:6" x14ac:dyDescent="0.25">
      <c r="B70" s="65">
        <v>1</v>
      </c>
      <c r="C70" s="71" t="s">
        <v>119</v>
      </c>
      <c r="D70" t="s">
        <v>134</v>
      </c>
      <c r="E70" s="66">
        <v>700</v>
      </c>
      <c r="F70" s="66">
        <f t="shared" si="1"/>
        <v>700</v>
      </c>
    </row>
    <row r="71" spans="2:6" x14ac:dyDescent="0.25">
      <c r="B71" s="65">
        <v>4</v>
      </c>
      <c r="C71" s="65" t="s">
        <v>123</v>
      </c>
      <c r="D71" t="s">
        <v>137</v>
      </c>
      <c r="E71" s="66">
        <v>15</v>
      </c>
      <c r="F71" s="67">
        <f t="shared" ref="F71:F76" si="2">B71*E71</f>
        <v>60</v>
      </c>
    </row>
    <row r="72" spans="2:6" x14ac:dyDescent="0.25">
      <c r="B72" s="65">
        <v>300</v>
      </c>
      <c r="C72" s="65" t="s">
        <v>116</v>
      </c>
      <c r="D72" t="s">
        <v>132</v>
      </c>
      <c r="E72" s="66">
        <v>0.2</v>
      </c>
      <c r="F72" s="67">
        <f t="shared" si="2"/>
        <v>60</v>
      </c>
    </row>
    <row r="73" spans="2:6" x14ac:dyDescent="0.25">
      <c r="B73" s="65">
        <v>45</v>
      </c>
      <c r="C73" s="65" t="s">
        <v>117</v>
      </c>
      <c r="D73" t="s">
        <v>131</v>
      </c>
      <c r="E73" s="66">
        <v>6</v>
      </c>
      <c r="F73" s="67">
        <f t="shared" si="2"/>
        <v>270</v>
      </c>
    </row>
    <row r="74" spans="2:6" x14ac:dyDescent="0.25">
      <c r="B74" s="65">
        <v>3</v>
      </c>
      <c r="C74" s="65" t="s">
        <v>140</v>
      </c>
      <c r="D74" t="s">
        <v>135</v>
      </c>
      <c r="E74" s="66">
        <v>0.5</v>
      </c>
      <c r="F74" s="67">
        <f t="shared" si="2"/>
        <v>1.5</v>
      </c>
    </row>
    <row r="75" spans="2:6" x14ac:dyDescent="0.25">
      <c r="B75" s="65">
        <v>3</v>
      </c>
      <c r="C75" s="65" t="s">
        <v>136</v>
      </c>
      <c r="D75" t="s">
        <v>139</v>
      </c>
      <c r="E75" s="66">
        <v>10</v>
      </c>
      <c r="F75" s="67">
        <f t="shared" si="2"/>
        <v>30</v>
      </c>
    </row>
    <row r="76" spans="2:6" x14ac:dyDescent="0.25">
      <c r="B76" s="65">
        <v>1</v>
      </c>
      <c r="C76" s="128" t="s">
        <v>233</v>
      </c>
      <c r="D76" t="s">
        <v>138</v>
      </c>
      <c r="E76" s="66">
        <f>F78*5%</f>
        <v>255</v>
      </c>
      <c r="F76" s="67">
        <f t="shared" si="2"/>
        <v>255</v>
      </c>
    </row>
    <row r="77" spans="2:6" ht="15.75" x14ac:dyDescent="0.25">
      <c r="B77" s="288" t="s">
        <v>111</v>
      </c>
      <c r="C77" s="288"/>
      <c r="D77" s="288"/>
      <c r="E77" s="288"/>
      <c r="F77" s="70">
        <f>SUM(F67:F76)</f>
        <v>3376.5</v>
      </c>
    </row>
    <row r="78" spans="2:6" x14ac:dyDescent="0.25">
      <c r="B78" s="289" t="s">
        <v>112</v>
      </c>
      <c r="C78" s="289"/>
      <c r="D78" s="289"/>
      <c r="E78" s="289"/>
      <c r="F78" s="68">
        <v>5100</v>
      </c>
    </row>
    <row r="79" spans="2:6" x14ac:dyDescent="0.25">
      <c r="D79" s="284" t="s">
        <v>121</v>
      </c>
      <c r="E79" s="284"/>
      <c r="F79" s="69">
        <f>F78-F77</f>
        <v>1723.5</v>
      </c>
    </row>
    <row r="80" spans="2:6" x14ac:dyDescent="0.25">
      <c r="B80" t="s">
        <v>211</v>
      </c>
    </row>
    <row r="83" spans="2:6" x14ac:dyDescent="0.25">
      <c r="D83" s="63" t="s">
        <v>141</v>
      </c>
    </row>
    <row r="84" spans="2:6" ht="31.5" customHeight="1" x14ac:dyDescent="0.25">
      <c r="B84" s="290" t="s">
        <v>172</v>
      </c>
      <c r="C84" s="290"/>
      <c r="D84" s="290"/>
      <c r="E84" s="290"/>
      <c r="F84" s="290"/>
    </row>
    <row r="85" spans="2:6" x14ac:dyDescent="0.25">
      <c r="B85" s="64" t="s">
        <v>0</v>
      </c>
      <c r="C85" s="36" t="s">
        <v>109</v>
      </c>
      <c r="D85" s="64" t="s">
        <v>99</v>
      </c>
      <c r="E85" s="64" t="s">
        <v>100</v>
      </c>
      <c r="F85" s="64" t="s">
        <v>101</v>
      </c>
    </row>
    <row r="86" spans="2:6" x14ac:dyDescent="0.25">
      <c r="B86" s="65">
        <v>3</v>
      </c>
      <c r="C86" s="65" t="s">
        <v>104</v>
      </c>
      <c r="D86" t="s">
        <v>113</v>
      </c>
      <c r="E86" s="66">
        <v>100</v>
      </c>
      <c r="F86" s="66">
        <f>B86*E86</f>
        <v>300</v>
      </c>
    </row>
    <row r="87" spans="2:6" x14ac:dyDescent="0.25">
      <c r="B87" s="65">
        <v>1</v>
      </c>
      <c r="C87" s="65" t="s">
        <v>119</v>
      </c>
      <c r="D87" t="s">
        <v>120</v>
      </c>
      <c r="E87" s="66">
        <v>2000</v>
      </c>
      <c r="F87" s="66">
        <f>B87*E87</f>
        <v>2000</v>
      </c>
    </row>
    <row r="88" spans="2:6" x14ac:dyDescent="0.25">
      <c r="B88" s="65">
        <v>1</v>
      </c>
      <c r="C88" s="71" t="s">
        <v>119</v>
      </c>
      <c r="D88" t="s">
        <v>133</v>
      </c>
      <c r="E88" s="66">
        <v>1100</v>
      </c>
      <c r="F88" s="66">
        <f t="shared" ref="F88:F95" si="3">B88*E88</f>
        <v>1100</v>
      </c>
    </row>
    <row r="89" spans="2:6" x14ac:dyDescent="0.25">
      <c r="B89" s="65">
        <v>1</v>
      </c>
      <c r="C89" s="71" t="s">
        <v>119</v>
      </c>
      <c r="D89" t="s">
        <v>134</v>
      </c>
      <c r="E89" s="66">
        <v>1200</v>
      </c>
      <c r="F89" s="66">
        <f t="shared" si="3"/>
        <v>1200</v>
      </c>
    </row>
    <row r="90" spans="2:6" x14ac:dyDescent="0.25">
      <c r="B90" s="65">
        <v>4</v>
      </c>
      <c r="C90" s="65" t="s">
        <v>123</v>
      </c>
      <c r="D90" t="s">
        <v>137</v>
      </c>
      <c r="E90" s="66">
        <v>15</v>
      </c>
      <c r="F90" s="67">
        <f t="shared" si="3"/>
        <v>60</v>
      </c>
    </row>
    <row r="91" spans="2:6" x14ac:dyDescent="0.25">
      <c r="B91" s="65">
        <v>360</v>
      </c>
      <c r="C91" s="65" t="s">
        <v>116</v>
      </c>
      <c r="D91" t="s">
        <v>132</v>
      </c>
      <c r="E91" s="66">
        <v>0.2</v>
      </c>
      <c r="F91" s="67">
        <f t="shared" si="3"/>
        <v>72</v>
      </c>
    </row>
    <row r="92" spans="2:6" x14ac:dyDescent="0.25">
      <c r="B92" s="65">
        <v>51</v>
      </c>
      <c r="C92" s="65" t="s">
        <v>117</v>
      </c>
      <c r="D92" t="s">
        <v>131</v>
      </c>
      <c r="E92" s="66">
        <v>6</v>
      </c>
      <c r="F92" s="67">
        <f t="shared" si="3"/>
        <v>306</v>
      </c>
    </row>
    <row r="93" spans="2:6" x14ac:dyDescent="0.25">
      <c r="B93" s="65">
        <v>3</v>
      </c>
      <c r="C93" s="65" t="s">
        <v>140</v>
      </c>
      <c r="D93" t="s">
        <v>135</v>
      </c>
      <c r="E93" s="66">
        <v>0.5</v>
      </c>
      <c r="F93" s="67">
        <f t="shared" si="3"/>
        <v>1.5</v>
      </c>
    </row>
    <row r="94" spans="2:6" x14ac:dyDescent="0.25">
      <c r="B94" s="65">
        <v>3</v>
      </c>
      <c r="C94" s="65" t="s">
        <v>136</v>
      </c>
      <c r="D94" t="s">
        <v>139</v>
      </c>
      <c r="E94" s="66">
        <v>10</v>
      </c>
      <c r="F94" s="67">
        <f t="shared" si="3"/>
        <v>30</v>
      </c>
    </row>
    <row r="95" spans="2:6" x14ac:dyDescent="0.25">
      <c r="B95" s="65">
        <v>1</v>
      </c>
      <c r="C95" s="128" t="s">
        <v>233</v>
      </c>
      <c r="D95" t="s">
        <v>138</v>
      </c>
      <c r="E95" s="66">
        <f>F97*5%</f>
        <v>375</v>
      </c>
      <c r="F95" s="67">
        <f t="shared" si="3"/>
        <v>375</v>
      </c>
    </row>
    <row r="96" spans="2:6" ht="15.75" x14ac:dyDescent="0.25">
      <c r="B96" s="288" t="s">
        <v>111</v>
      </c>
      <c r="C96" s="288"/>
      <c r="D96" s="288"/>
      <c r="E96" s="288"/>
      <c r="F96" s="70">
        <f>SUM(F86:F95)</f>
        <v>5444.5</v>
      </c>
    </row>
    <row r="97" spans="2:6" x14ac:dyDescent="0.25">
      <c r="B97" s="289" t="s">
        <v>112</v>
      </c>
      <c r="C97" s="289"/>
      <c r="D97" s="289"/>
      <c r="E97" s="289"/>
      <c r="F97" s="68">
        <v>7500</v>
      </c>
    </row>
    <row r="98" spans="2:6" x14ac:dyDescent="0.25">
      <c r="D98" s="284" t="s">
        <v>121</v>
      </c>
      <c r="E98" s="284"/>
      <c r="F98" s="69">
        <f>F97-F96</f>
        <v>2055.5</v>
      </c>
    </row>
    <row r="99" spans="2:6" x14ac:dyDescent="0.25">
      <c r="B99" t="s">
        <v>211</v>
      </c>
    </row>
    <row r="102" spans="2:6" x14ac:dyDescent="0.25">
      <c r="D102" s="16" t="s">
        <v>146</v>
      </c>
    </row>
    <row r="103" spans="2:6" ht="30" customHeight="1" x14ac:dyDescent="0.25">
      <c r="B103" s="290" t="s">
        <v>142</v>
      </c>
      <c r="C103" s="290"/>
      <c r="D103" s="290"/>
      <c r="E103" s="290"/>
      <c r="F103" s="290"/>
    </row>
    <row r="104" spans="2:6" x14ac:dyDescent="0.25">
      <c r="B104" s="24" t="s">
        <v>0</v>
      </c>
      <c r="C104" s="36" t="s">
        <v>109</v>
      </c>
      <c r="D104" s="24" t="s">
        <v>99</v>
      </c>
      <c r="E104" s="24" t="s">
        <v>100</v>
      </c>
      <c r="F104" s="24" t="s">
        <v>101</v>
      </c>
    </row>
    <row r="105" spans="2:6" x14ac:dyDescent="0.25">
      <c r="B105" s="65">
        <v>2</v>
      </c>
      <c r="C105" s="65" t="s">
        <v>104</v>
      </c>
      <c r="D105" t="s">
        <v>113</v>
      </c>
      <c r="E105" s="66">
        <v>100</v>
      </c>
      <c r="F105" s="66">
        <f>B105*E105</f>
        <v>200</v>
      </c>
    </row>
    <row r="106" spans="2:6" x14ac:dyDescent="0.25">
      <c r="B106" s="65">
        <v>1</v>
      </c>
      <c r="C106" s="65" t="s">
        <v>143</v>
      </c>
      <c r="D106" t="s">
        <v>144</v>
      </c>
      <c r="E106" s="66">
        <v>500</v>
      </c>
      <c r="F106" s="66">
        <f>B106*E106</f>
        <v>500</v>
      </c>
    </row>
    <row r="107" spans="2:6" x14ac:dyDescent="0.25">
      <c r="B107" s="65">
        <v>1</v>
      </c>
      <c r="C107" s="65" t="s">
        <v>119</v>
      </c>
      <c r="D107" t="s">
        <v>120</v>
      </c>
      <c r="E107" s="66">
        <v>2700</v>
      </c>
      <c r="F107" s="66">
        <f>B107*E107</f>
        <v>2700</v>
      </c>
    </row>
    <row r="108" spans="2:6" x14ac:dyDescent="0.25">
      <c r="B108" s="65">
        <v>1</v>
      </c>
      <c r="C108" s="71" t="s">
        <v>119</v>
      </c>
      <c r="D108" t="s">
        <v>133</v>
      </c>
      <c r="E108" s="66">
        <v>2200</v>
      </c>
      <c r="F108" s="66">
        <f t="shared" ref="F108:F109" si="4">B108*E108</f>
        <v>2200</v>
      </c>
    </row>
    <row r="109" spans="2:6" x14ac:dyDescent="0.25">
      <c r="B109" s="65">
        <v>1</v>
      </c>
      <c r="C109" s="71" t="s">
        <v>119</v>
      </c>
      <c r="D109" t="s">
        <v>134</v>
      </c>
      <c r="E109" s="66">
        <v>1500</v>
      </c>
      <c r="F109" s="66">
        <f t="shared" si="4"/>
        <v>1500</v>
      </c>
    </row>
    <row r="110" spans="2:6" x14ac:dyDescent="0.25">
      <c r="B110" s="65">
        <v>4</v>
      </c>
      <c r="C110" s="65" t="s">
        <v>123</v>
      </c>
      <c r="D110" t="s">
        <v>137</v>
      </c>
      <c r="E110" s="66">
        <v>15</v>
      </c>
      <c r="F110" s="67">
        <f t="shared" ref="F110:F115" si="5">B110*E110</f>
        <v>60</v>
      </c>
    </row>
    <row r="111" spans="2:6" x14ac:dyDescent="0.25">
      <c r="B111" s="65">
        <v>450</v>
      </c>
      <c r="C111" s="65" t="s">
        <v>116</v>
      </c>
      <c r="D111" t="s">
        <v>132</v>
      </c>
      <c r="E111" s="66">
        <v>0.2</v>
      </c>
      <c r="F111" s="67">
        <f t="shared" si="5"/>
        <v>90</v>
      </c>
    </row>
    <row r="112" spans="2:6" x14ac:dyDescent="0.25">
      <c r="B112" s="65">
        <v>75</v>
      </c>
      <c r="C112" s="65" t="s">
        <v>117</v>
      </c>
      <c r="D112" t="s">
        <v>131</v>
      </c>
      <c r="E112" s="66">
        <v>6</v>
      </c>
      <c r="F112" s="67">
        <f t="shared" si="5"/>
        <v>450</v>
      </c>
    </row>
    <row r="113" spans="2:6" x14ac:dyDescent="0.25">
      <c r="B113" s="65">
        <v>3</v>
      </c>
      <c r="C113" s="65" t="s">
        <v>140</v>
      </c>
      <c r="D113" t="s">
        <v>135</v>
      </c>
      <c r="E113" s="66">
        <v>0.5</v>
      </c>
      <c r="F113" s="67">
        <f t="shared" si="5"/>
        <v>1.5</v>
      </c>
    </row>
    <row r="114" spans="2:6" x14ac:dyDescent="0.25">
      <c r="B114" s="65">
        <v>6</v>
      </c>
      <c r="C114" s="65" t="s">
        <v>136</v>
      </c>
      <c r="D114" t="s">
        <v>139</v>
      </c>
      <c r="E114" s="66">
        <v>10</v>
      </c>
      <c r="F114" s="67">
        <f t="shared" si="5"/>
        <v>60</v>
      </c>
    </row>
    <row r="115" spans="2:6" x14ac:dyDescent="0.25">
      <c r="B115" s="65">
        <v>1</v>
      </c>
      <c r="C115" s="128" t="s">
        <v>233</v>
      </c>
      <c r="D115" t="s">
        <v>138</v>
      </c>
      <c r="E115" s="66">
        <f>F117*5%</f>
        <v>600</v>
      </c>
      <c r="F115" s="67">
        <f t="shared" si="5"/>
        <v>600</v>
      </c>
    </row>
    <row r="116" spans="2:6" ht="15.75" x14ac:dyDescent="0.25">
      <c r="B116" s="288" t="s">
        <v>111</v>
      </c>
      <c r="C116" s="288"/>
      <c r="D116" s="288"/>
      <c r="E116" s="288"/>
      <c r="F116" s="70">
        <f>SUM(F105:F115)</f>
        <v>8361.5</v>
      </c>
    </row>
    <row r="117" spans="2:6" x14ac:dyDescent="0.25">
      <c r="B117" s="289" t="s">
        <v>112</v>
      </c>
      <c r="C117" s="289"/>
      <c r="D117" s="289"/>
      <c r="E117" s="289"/>
      <c r="F117" s="68">
        <v>12000</v>
      </c>
    </row>
    <row r="118" spans="2:6" x14ac:dyDescent="0.25">
      <c r="D118" s="284" t="s">
        <v>121</v>
      </c>
      <c r="E118" s="284"/>
      <c r="F118" s="69">
        <f>F117-F116</f>
        <v>3638.5</v>
      </c>
    </row>
    <row r="119" spans="2:6" x14ac:dyDescent="0.25">
      <c r="B119" t="s">
        <v>211</v>
      </c>
    </row>
    <row r="129" spans="2:6" x14ac:dyDescent="0.25">
      <c r="D129" s="16" t="s">
        <v>151</v>
      </c>
    </row>
    <row r="130" spans="2:6" ht="29.25" customHeight="1" x14ac:dyDescent="0.25">
      <c r="B130" s="290" t="s">
        <v>147</v>
      </c>
      <c r="C130" s="290"/>
      <c r="D130" s="290"/>
      <c r="E130" s="290"/>
      <c r="F130" s="290"/>
    </row>
    <row r="131" spans="2:6" x14ac:dyDescent="0.25">
      <c r="B131" s="24" t="s">
        <v>0</v>
      </c>
      <c r="C131" s="36" t="s">
        <v>109</v>
      </c>
      <c r="D131" s="24" t="s">
        <v>99</v>
      </c>
      <c r="E131" s="24" t="s">
        <v>100</v>
      </c>
      <c r="F131" s="24" t="s">
        <v>101</v>
      </c>
    </row>
    <row r="132" spans="2:6" x14ac:dyDescent="0.25">
      <c r="B132" s="65">
        <v>2</v>
      </c>
      <c r="C132" s="65" t="s">
        <v>104</v>
      </c>
      <c r="D132" t="s">
        <v>113</v>
      </c>
      <c r="E132" s="66">
        <v>100</v>
      </c>
      <c r="F132" s="66">
        <f>B132*E132</f>
        <v>200</v>
      </c>
    </row>
    <row r="133" spans="2:6" x14ac:dyDescent="0.25">
      <c r="B133" s="65">
        <v>1</v>
      </c>
      <c r="C133" s="65" t="s">
        <v>143</v>
      </c>
      <c r="D133" t="s">
        <v>144</v>
      </c>
      <c r="E133" s="66">
        <v>500</v>
      </c>
      <c r="F133" s="66">
        <f>B133*E133</f>
        <v>500</v>
      </c>
    </row>
    <row r="134" spans="2:6" x14ac:dyDescent="0.25">
      <c r="B134" s="65">
        <v>1</v>
      </c>
      <c r="C134" s="65" t="s">
        <v>119</v>
      </c>
      <c r="D134" t="s">
        <v>120</v>
      </c>
      <c r="E134" s="66">
        <v>3400</v>
      </c>
      <c r="F134" s="66">
        <f>B134*E134</f>
        <v>3400</v>
      </c>
    </row>
    <row r="135" spans="2:6" x14ac:dyDescent="0.25">
      <c r="B135" s="65">
        <v>1</v>
      </c>
      <c r="C135" s="71" t="s">
        <v>119</v>
      </c>
      <c r="D135" t="s">
        <v>133</v>
      </c>
      <c r="E135" s="66">
        <v>2500</v>
      </c>
      <c r="F135" s="66">
        <f t="shared" ref="F135:F136" si="6">B135*E135</f>
        <v>2500</v>
      </c>
    </row>
    <row r="136" spans="2:6" x14ac:dyDescent="0.25">
      <c r="B136" s="65">
        <v>1</v>
      </c>
      <c r="C136" s="71" t="s">
        <v>119</v>
      </c>
      <c r="D136" t="s">
        <v>134</v>
      </c>
      <c r="E136" s="66">
        <v>3000</v>
      </c>
      <c r="F136" s="66">
        <f t="shared" si="6"/>
        <v>3000</v>
      </c>
    </row>
    <row r="137" spans="2:6" x14ac:dyDescent="0.25">
      <c r="B137" s="65">
        <v>1</v>
      </c>
      <c r="C137" s="71" t="s">
        <v>119</v>
      </c>
      <c r="D137" t="s">
        <v>149</v>
      </c>
      <c r="E137" s="66">
        <v>3000</v>
      </c>
      <c r="F137" s="66">
        <f t="shared" ref="F137" si="7">B137*E137</f>
        <v>3000</v>
      </c>
    </row>
    <row r="138" spans="2:6" x14ac:dyDescent="0.25">
      <c r="B138" s="65">
        <v>1</v>
      </c>
      <c r="C138" s="71" t="s">
        <v>119</v>
      </c>
      <c r="D138" t="s">
        <v>148</v>
      </c>
      <c r="E138" s="66">
        <v>2400</v>
      </c>
      <c r="F138" s="66">
        <f t="shared" ref="F138" si="8">B138*E138</f>
        <v>2400</v>
      </c>
    </row>
    <row r="139" spans="2:6" x14ac:dyDescent="0.25">
      <c r="B139" s="65">
        <v>4</v>
      </c>
      <c r="C139" s="65" t="s">
        <v>123</v>
      </c>
      <c r="D139" t="s">
        <v>137</v>
      </c>
      <c r="E139" s="66">
        <v>15</v>
      </c>
      <c r="F139" s="67">
        <f t="shared" ref="F139:F144" si="9">B139*E139</f>
        <v>60</v>
      </c>
    </row>
    <row r="140" spans="2:6" x14ac:dyDescent="0.25">
      <c r="B140" s="65">
        <v>450</v>
      </c>
      <c r="C140" s="65" t="s">
        <v>116</v>
      </c>
      <c r="D140" t="s">
        <v>132</v>
      </c>
      <c r="E140" s="66">
        <v>0.2</v>
      </c>
      <c r="F140" s="67">
        <f t="shared" si="9"/>
        <v>90</v>
      </c>
    </row>
    <row r="141" spans="2:6" x14ac:dyDescent="0.25">
      <c r="B141" s="65">
        <v>75</v>
      </c>
      <c r="C141" s="65" t="s">
        <v>117</v>
      </c>
      <c r="D141" t="s">
        <v>131</v>
      </c>
      <c r="E141" s="66">
        <v>6</v>
      </c>
      <c r="F141" s="67">
        <f t="shared" si="9"/>
        <v>450</v>
      </c>
    </row>
    <row r="142" spans="2:6" x14ac:dyDescent="0.25">
      <c r="B142" s="65">
        <v>3</v>
      </c>
      <c r="C142" s="65" t="s">
        <v>140</v>
      </c>
      <c r="D142" t="s">
        <v>135</v>
      </c>
      <c r="E142" s="66">
        <v>0.5</v>
      </c>
      <c r="F142" s="67">
        <f t="shared" si="9"/>
        <v>1.5</v>
      </c>
    </row>
    <row r="143" spans="2:6" x14ac:dyDescent="0.25">
      <c r="B143" s="65">
        <v>6</v>
      </c>
      <c r="C143" s="65" t="s">
        <v>136</v>
      </c>
      <c r="D143" t="s">
        <v>139</v>
      </c>
      <c r="E143" s="66">
        <v>10</v>
      </c>
      <c r="F143" s="67">
        <f t="shared" si="9"/>
        <v>60</v>
      </c>
    </row>
    <row r="144" spans="2:6" x14ac:dyDescent="0.25">
      <c r="B144" s="65">
        <v>1</v>
      </c>
      <c r="C144" s="128" t="s">
        <v>233</v>
      </c>
      <c r="D144" t="s">
        <v>145</v>
      </c>
      <c r="E144" s="66">
        <f>F146*6%</f>
        <v>1320</v>
      </c>
      <c r="F144" s="67">
        <f t="shared" si="9"/>
        <v>1320</v>
      </c>
    </row>
    <row r="145" spans="2:6" ht="15.75" x14ac:dyDescent="0.25">
      <c r="B145" s="288" t="s">
        <v>111</v>
      </c>
      <c r="C145" s="288"/>
      <c r="D145" s="288"/>
      <c r="E145" s="288"/>
      <c r="F145" s="70">
        <f>SUM(F132:F144)</f>
        <v>16981.5</v>
      </c>
    </row>
    <row r="146" spans="2:6" x14ac:dyDescent="0.25">
      <c r="B146" s="289" t="s">
        <v>112</v>
      </c>
      <c r="C146" s="289"/>
      <c r="D146" s="289"/>
      <c r="E146" s="289"/>
      <c r="F146" s="68">
        <v>22000</v>
      </c>
    </row>
    <row r="147" spans="2:6" x14ac:dyDescent="0.25">
      <c r="D147" s="284" t="s">
        <v>121</v>
      </c>
      <c r="E147" s="284"/>
      <c r="F147" s="69">
        <f>F146-F145</f>
        <v>5018.5</v>
      </c>
    </row>
    <row r="148" spans="2:6" x14ac:dyDescent="0.25">
      <c r="B148" t="s">
        <v>211</v>
      </c>
    </row>
    <row r="155" spans="2:6" x14ac:dyDescent="0.25">
      <c r="D155" s="16" t="s">
        <v>153</v>
      </c>
    </row>
    <row r="156" spans="2:6" x14ac:dyDescent="0.25">
      <c r="B156" s="290" t="s">
        <v>150</v>
      </c>
      <c r="C156" s="290"/>
      <c r="D156" s="290"/>
      <c r="E156" s="290"/>
      <c r="F156" s="290"/>
    </row>
    <row r="157" spans="2:6" x14ac:dyDescent="0.25">
      <c r="B157" s="24" t="s">
        <v>0</v>
      </c>
      <c r="C157" s="36" t="s">
        <v>109</v>
      </c>
      <c r="D157" s="24" t="s">
        <v>99</v>
      </c>
      <c r="E157" s="24" t="s">
        <v>100</v>
      </c>
      <c r="F157" s="24" t="s">
        <v>101</v>
      </c>
    </row>
    <row r="158" spans="2:6" x14ac:dyDescent="0.25">
      <c r="B158" s="65">
        <v>2</v>
      </c>
      <c r="C158" s="65" t="s">
        <v>104</v>
      </c>
      <c r="D158" t="s">
        <v>113</v>
      </c>
      <c r="E158" s="66">
        <v>100</v>
      </c>
      <c r="F158" s="66">
        <f>B158*E158</f>
        <v>200</v>
      </c>
    </row>
    <row r="159" spans="2:6" x14ac:dyDescent="0.25">
      <c r="B159" s="65">
        <v>1</v>
      </c>
      <c r="C159" s="65" t="s">
        <v>143</v>
      </c>
      <c r="D159" t="s">
        <v>144</v>
      </c>
      <c r="E159" s="66">
        <v>500</v>
      </c>
      <c r="F159" s="66">
        <f>B159*E159</f>
        <v>500</v>
      </c>
    </row>
    <row r="160" spans="2:6" x14ac:dyDescent="0.25">
      <c r="B160" s="65">
        <v>1</v>
      </c>
      <c r="C160" s="65" t="s">
        <v>119</v>
      </c>
      <c r="D160" t="s">
        <v>120</v>
      </c>
      <c r="E160" s="66">
        <v>4300</v>
      </c>
      <c r="F160" s="66">
        <f>B160*E160</f>
        <v>4300</v>
      </c>
    </row>
    <row r="161" spans="2:6" x14ac:dyDescent="0.25">
      <c r="B161" s="65">
        <v>1</v>
      </c>
      <c r="C161" s="71" t="s">
        <v>119</v>
      </c>
      <c r="D161" t="s">
        <v>133</v>
      </c>
      <c r="E161" s="66">
        <v>2500</v>
      </c>
      <c r="F161" s="66">
        <f t="shared" ref="F161:F164" si="10">B161*E161</f>
        <v>2500</v>
      </c>
    </row>
    <row r="162" spans="2:6" x14ac:dyDescent="0.25">
      <c r="B162" s="65">
        <v>1</v>
      </c>
      <c r="C162" s="71" t="s">
        <v>119</v>
      </c>
      <c r="D162" t="s">
        <v>134</v>
      </c>
      <c r="E162" s="66">
        <v>5000</v>
      </c>
      <c r="F162" s="66">
        <f t="shared" si="10"/>
        <v>5000</v>
      </c>
    </row>
    <row r="163" spans="2:6" x14ac:dyDescent="0.25">
      <c r="B163" s="65">
        <v>1</v>
      </c>
      <c r="C163" s="71" t="s">
        <v>119</v>
      </c>
      <c r="D163" t="s">
        <v>149</v>
      </c>
      <c r="E163" s="66">
        <v>6000</v>
      </c>
      <c r="F163" s="66">
        <f t="shared" si="10"/>
        <v>6000</v>
      </c>
    </row>
    <row r="164" spans="2:6" x14ac:dyDescent="0.25">
      <c r="B164" s="65">
        <v>1</v>
      </c>
      <c r="C164" s="71" t="s">
        <v>119</v>
      </c>
      <c r="D164" t="s">
        <v>148</v>
      </c>
      <c r="E164" s="66">
        <v>3000</v>
      </c>
      <c r="F164" s="66">
        <f t="shared" si="10"/>
        <v>3000</v>
      </c>
    </row>
    <row r="165" spans="2:6" x14ac:dyDescent="0.25">
      <c r="B165" s="65">
        <v>4</v>
      </c>
      <c r="C165" s="65" t="s">
        <v>123</v>
      </c>
      <c r="D165" t="s">
        <v>137</v>
      </c>
      <c r="E165" s="66">
        <v>15</v>
      </c>
      <c r="F165" s="67">
        <f t="shared" ref="F165:F171" si="11">B165*E165</f>
        <v>60</v>
      </c>
    </row>
    <row r="166" spans="2:6" x14ac:dyDescent="0.25">
      <c r="B166" s="65">
        <v>600</v>
      </c>
      <c r="C166" s="65" t="s">
        <v>116</v>
      </c>
      <c r="D166" t="s">
        <v>132</v>
      </c>
      <c r="E166" s="66">
        <v>0.2</v>
      </c>
      <c r="F166" s="67">
        <f t="shared" si="11"/>
        <v>120</v>
      </c>
    </row>
    <row r="167" spans="2:6" x14ac:dyDescent="0.25">
      <c r="B167" s="65">
        <v>90</v>
      </c>
      <c r="C167" s="65" t="s">
        <v>117</v>
      </c>
      <c r="D167" t="s">
        <v>131</v>
      </c>
      <c r="E167" s="66">
        <v>6</v>
      </c>
      <c r="F167" s="67">
        <f t="shared" si="11"/>
        <v>540</v>
      </c>
    </row>
    <row r="168" spans="2:6" x14ac:dyDescent="0.25">
      <c r="B168" s="65">
        <v>3</v>
      </c>
      <c r="C168" s="65" t="s">
        <v>140</v>
      </c>
      <c r="D168" t="s">
        <v>135</v>
      </c>
      <c r="E168" s="66">
        <v>0.5</v>
      </c>
      <c r="F168" s="67">
        <f t="shared" si="11"/>
        <v>1.5</v>
      </c>
    </row>
    <row r="169" spans="2:6" x14ac:dyDescent="0.25">
      <c r="B169" s="65">
        <v>9</v>
      </c>
      <c r="C169" s="65" t="s">
        <v>136</v>
      </c>
      <c r="D169" t="s">
        <v>139</v>
      </c>
      <c r="E169" s="66">
        <v>10</v>
      </c>
      <c r="F169" s="67">
        <f t="shared" si="11"/>
        <v>90</v>
      </c>
    </row>
    <row r="170" spans="2:6" x14ac:dyDescent="0.25">
      <c r="B170" s="65">
        <v>1</v>
      </c>
      <c r="C170" s="128" t="s">
        <v>233</v>
      </c>
      <c r="D170" t="s">
        <v>145</v>
      </c>
      <c r="E170" s="66">
        <f>F173*6%</f>
        <v>1980</v>
      </c>
      <c r="F170" s="67">
        <f t="shared" si="11"/>
        <v>1980</v>
      </c>
    </row>
    <row r="171" spans="2:6" ht="30" x14ac:dyDescent="0.25">
      <c r="B171" s="65">
        <v>1</v>
      </c>
      <c r="C171" s="73" t="s">
        <v>159</v>
      </c>
      <c r="D171" s="72" t="s">
        <v>152</v>
      </c>
      <c r="E171" s="66">
        <f>F173*10%</f>
        <v>3300</v>
      </c>
      <c r="F171" s="67">
        <f t="shared" si="11"/>
        <v>3300</v>
      </c>
    </row>
    <row r="172" spans="2:6" ht="15.75" x14ac:dyDescent="0.25">
      <c r="B172" s="288" t="s">
        <v>111</v>
      </c>
      <c r="C172" s="288"/>
      <c r="D172" s="288"/>
      <c r="E172" s="288"/>
      <c r="F172" s="70">
        <f>SUM(F158:F171)</f>
        <v>27591.5</v>
      </c>
    </row>
    <row r="173" spans="2:6" x14ac:dyDescent="0.25">
      <c r="B173" s="289" t="s">
        <v>112</v>
      </c>
      <c r="C173" s="289"/>
      <c r="D173" s="289"/>
      <c r="E173" s="289"/>
      <c r="F173" s="68">
        <v>33000</v>
      </c>
    </row>
    <row r="174" spans="2:6" x14ac:dyDescent="0.25">
      <c r="D174" s="284" t="s">
        <v>121</v>
      </c>
      <c r="E174" s="284"/>
      <c r="F174" s="69">
        <f>F173-F172</f>
        <v>5408.5</v>
      </c>
    </row>
    <row r="175" spans="2:6" x14ac:dyDescent="0.25">
      <c r="B175" t="s">
        <v>211</v>
      </c>
    </row>
    <row r="190" spans="2:6" x14ac:dyDescent="0.25">
      <c r="D190" s="16" t="s">
        <v>154</v>
      </c>
    </row>
    <row r="191" spans="2:6" x14ac:dyDescent="0.25">
      <c r="B191" s="290" t="s">
        <v>155</v>
      </c>
      <c r="C191" s="290"/>
      <c r="D191" s="290"/>
      <c r="E191" s="290"/>
      <c r="F191" s="290"/>
    </row>
    <row r="192" spans="2:6" x14ac:dyDescent="0.25">
      <c r="B192" s="24" t="s">
        <v>0</v>
      </c>
      <c r="C192" s="36" t="s">
        <v>109</v>
      </c>
      <c r="D192" s="24" t="s">
        <v>99</v>
      </c>
      <c r="E192" s="24" t="s">
        <v>100</v>
      </c>
      <c r="F192" s="24" t="s">
        <v>101</v>
      </c>
    </row>
    <row r="193" spans="2:6" x14ac:dyDescent="0.25">
      <c r="B193" s="65">
        <v>4</v>
      </c>
      <c r="C193" s="65" t="s">
        <v>104</v>
      </c>
      <c r="D193" t="s">
        <v>113</v>
      </c>
      <c r="E193" s="66">
        <v>100</v>
      </c>
      <c r="F193" s="66">
        <f>B193*E193</f>
        <v>400</v>
      </c>
    </row>
    <row r="194" spans="2:6" ht="30" x14ac:dyDescent="0.25">
      <c r="B194" s="65">
        <v>4</v>
      </c>
      <c r="C194" s="65" t="s">
        <v>104</v>
      </c>
      <c r="D194" s="72" t="s">
        <v>156</v>
      </c>
      <c r="E194" s="66">
        <v>100</v>
      </c>
      <c r="F194" s="66">
        <f>B194*E194</f>
        <v>400</v>
      </c>
    </row>
    <row r="195" spans="2:6" x14ac:dyDescent="0.25">
      <c r="B195" s="65">
        <v>3</v>
      </c>
      <c r="C195" s="65" t="s">
        <v>143</v>
      </c>
      <c r="D195" t="s">
        <v>144</v>
      </c>
      <c r="E195" s="66">
        <v>500</v>
      </c>
      <c r="F195" s="66">
        <f>B195*E195</f>
        <v>1500</v>
      </c>
    </row>
    <row r="196" spans="2:6" x14ac:dyDescent="0.25">
      <c r="B196" s="65">
        <v>1</v>
      </c>
      <c r="C196" s="65" t="s">
        <v>119</v>
      </c>
      <c r="D196" t="s">
        <v>120</v>
      </c>
      <c r="E196" s="66">
        <v>6000</v>
      </c>
      <c r="F196" s="66">
        <f>B196*E196</f>
        <v>6000</v>
      </c>
    </row>
    <row r="197" spans="2:6" x14ac:dyDescent="0.25">
      <c r="B197" s="65">
        <v>1</v>
      </c>
      <c r="C197" s="71" t="s">
        <v>119</v>
      </c>
      <c r="D197" t="s">
        <v>133</v>
      </c>
      <c r="E197" s="66">
        <v>5000</v>
      </c>
      <c r="F197" s="66">
        <f t="shared" ref="F197:F200" si="12">B197*E197</f>
        <v>5000</v>
      </c>
    </row>
    <row r="198" spans="2:6" x14ac:dyDescent="0.25">
      <c r="B198" s="65">
        <v>1</v>
      </c>
      <c r="C198" s="71" t="s">
        <v>119</v>
      </c>
      <c r="D198" t="s">
        <v>134</v>
      </c>
      <c r="E198" s="66">
        <v>7000</v>
      </c>
      <c r="F198" s="66">
        <f t="shared" si="12"/>
        <v>7000</v>
      </c>
    </row>
    <row r="199" spans="2:6" x14ac:dyDescent="0.25">
      <c r="B199" s="65">
        <v>1</v>
      </c>
      <c r="C199" s="71" t="s">
        <v>119</v>
      </c>
      <c r="D199" t="s">
        <v>149</v>
      </c>
      <c r="E199" s="66">
        <v>10000</v>
      </c>
      <c r="F199" s="66">
        <f t="shared" si="12"/>
        <v>10000</v>
      </c>
    </row>
    <row r="200" spans="2:6" x14ac:dyDescent="0.25">
      <c r="B200" s="65">
        <v>1</v>
      </c>
      <c r="C200" s="71" t="s">
        <v>119</v>
      </c>
      <c r="D200" t="s">
        <v>148</v>
      </c>
      <c r="E200" s="66">
        <v>5000</v>
      </c>
      <c r="F200" s="66">
        <f t="shared" si="12"/>
        <v>5000</v>
      </c>
    </row>
    <row r="201" spans="2:6" x14ac:dyDescent="0.25">
      <c r="B201" s="65">
        <v>8</v>
      </c>
      <c r="C201" s="65" t="s">
        <v>123</v>
      </c>
      <c r="D201" t="s">
        <v>137</v>
      </c>
      <c r="E201" s="66">
        <v>15</v>
      </c>
      <c r="F201" s="67">
        <f t="shared" ref="F201:F207" si="13">B201*E201</f>
        <v>120</v>
      </c>
    </row>
    <row r="202" spans="2:6" x14ac:dyDescent="0.25">
      <c r="B202" s="65">
        <v>750</v>
      </c>
      <c r="C202" s="65" t="s">
        <v>116</v>
      </c>
      <c r="D202" t="s">
        <v>132</v>
      </c>
      <c r="E202" s="66">
        <v>0.2</v>
      </c>
      <c r="F202" s="67">
        <f t="shared" si="13"/>
        <v>150</v>
      </c>
    </row>
    <row r="203" spans="2:6" x14ac:dyDescent="0.25">
      <c r="B203" s="65">
        <v>90</v>
      </c>
      <c r="C203" s="65" t="s">
        <v>117</v>
      </c>
      <c r="D203" t="s">
        <v>131</v>
      </c>
      <c r="E203" s="66">
        <v>6</v>
      </c>
      <c r="F203" s="67">
        <f t="shared" si="13"/>
        <v>540</v>
      </c>
    </row>
    <row r="204" spans="2:6" x14ac:dyDescent="0.25">
      <c r="B204" s="65">
        <v>3</v>
      </c>
      <c r="C204" s="65" t="s">
        <v>140</v>
      </c>
      <c r="D204" t="s">
        <v>135</v>
      </c>
      <c r="E204" s="66">
        <v>0.5</v>
      </c>
      <c r="F204" s="67">
        <f t="shared" si="13"/>
        <v>1.5</v>
      </c>
    </row>
    <row r="205" spans="2:6" x14ac:dyDescent="0.25">
      <c r="B205" s="65">
        <v>12</v>
      </c>
      <c r="C205" s="65" t="s">
        <v>136</v>
      </c>
      <c r="D205" t="s">
        <v>139</v>
      </c>
      <c r="E205" s="66">
        <v>10</v>
      </c>
      <c r="F205" s="67">
        <f t="shared" si="13"/>
        <v>120</v>
      </c>
    </row>
    <row r="206" spans="2:6" x14ac:dyDescent="0.25">
      <c r="B206" s="65">
        <v>1</v>
      </c>
      <c r="C206" s="128" t="s">
        <v>233</v>
      </c>
      <c r="D206" t="s">
        <v>145</v>
      </c>
      <c r="E206" s="66">
        <f>F209*6%</f>
        <v>3300</v>
      </c>
      <c r="F206" s="67">
        <f t="shared" si="13"/>
        <v>3300</v>
      </c>
    </row>
    <row r="207" spans="2:6" ht="30" x14ac:dyDescent="0.25">
      <c r="B207" s="65">
        <v>1</v>
      </c>
      <c r="C207" s="73" t="s">
        <v>159</v>
      </c>
      <c r="D207" s="72" t="s">
        <v>232</v>
      </c>
      <c r="E207" s="66">
        <f>F209*14%</f>
        <v>7700.0000000000009</v>
      </c>
      <c r="F207" s="67">
        <f t="shared" si="13"/>
        <v>7700.0000000000009</v>
      </c>
    </row>
    <row r="208" spans="2:6" ht="15.75" x14ac:dyDescent="0.25">
      <c r="B208" s="288" t="s">
        <v>111</v>
      </c>
      <c r="C208" s="288"/>
      <c r="D208" s="288"/>
      <c r="E208" s="288"/>
      <c r="F208" s="70">
        <f>SUM(F193:F207)</f>
        <v>47231.5</v>
      </c>
    </row>
    <row r="209" spans="2:6" x14ac:dyDescent="0.25">
      <c r="B209" s="289" t="s">
        <v>112</v>
      </c>
      <c r="C209" s="289"/>
      <c r="D209" s="289"/>
      <c r="E209" s="289"/>
      <c r="F209" s="68">
        <v>55000</v>
      </c>
    </row>
    <row r="210" spans="2:6" x14ac:dyDescent="0.25">
      <c r="D210" s="284" t="s">
        <v>121</v>
      </c>
      <c r="E210" s="284"/>
      <c r="F210" s="69">
        <f>F209-F208</f>
        <v>7768.5</v>
      </c>
    </row>
    <row r="211" spans="2:6" x14ac:dyDescent="0.25">
      <c r="B211" t="s">
        <v>211</v>
      </c>
    </row>
    <row r="218" spans="2:6" x14ac:dyDescent="0.25">
      <c r="D218" s="16" t="s">
        <v>157</v>
      </c>
    </row>
    <row r="219" spans="2:6" x14ac:dyDescent="0.25">
      <c r="B219" s="290" t="s">
        <v>158</v>
      </c>
      <c r="C219" s="290"/>
      <c r="D219" s="290"/>
      <c r="E219" s="290"/>
      <c r="F219" s="290"/>
    </row>
    <row r="220" spans="2:6" x14ac:dyDescent="0.25">
      <c r="B220" s="24" t="s">
        <v>0</v>
      </c>
      <c r="C220" s="36" t="s">
        <v>109</v>
      </c>
      <c r="D220" s="24" t="s">
        <v>99</v>
      </c>
      <c r="E220" s="24" t="s">
        <v>100</v>
      </c>
      <c r="F220" s="24" t="s">
        <v>101</v>
      </c>
    </row>
    <row r="221" spans="2:6" x14ac:dyDescent="0.25">
      <c r="B221" s="65">
        <v>4</v>
      </c>
      <c r="C221" s="65" t="s">
        <v>104</v>
      </c>
      <c r="D221" t="s">
        <v>113</v>
      </c>
      <c r="E221" s="66">
        <v>100</v>
      </c>
      <c r="F221" s="66">
        <f>B221*E221</f>
        <v>400</v>
      </c>
    </row>
    <row r="222" spans="2:6" ht="30" x14ac:dyDescent="0.25">
      <c r="B222" s="65">
        <v>4</v>
      </c>
      <c r="C222" s="65" t="s">
        <v>104</v>
      </c>
      <c r="D222" s="72" t="s">
        <v>156</v>
      </c>
      <c r="E222" s="66">
        <v>100</v>
      </c>
      <c r="F222" s="66">
        <f>B222*E222</f>
        <v>400</v>
      </c>
    </row>
    <row r="223" spans="2:6" x14ac:dyDescent="0.25">
      <c r="B223" s="65">
        <v>3</v>
      </c>
      <c r="C223" s="65" t="s">
        <v>143</v>
      </c>
      <c r="D223" t="s">
        <v>144</v>
      </c>
      <c r="E223" s="66">
        <v>500</v>
      </c>
      <c r="F223" s="66">
        <f>B223*E223</f>
        <v>1500</v>
      </c>
    </row>
    <row r="224" spans="2:6" x14ac:dyDescent="0.25">
      <c r="B224" s="65">
        <v>1</v>
      </c>
      <c r="C224" s="65" t="s">
        <v>119</v>
      </c>
      <c r="D224" t="s">
        <v>120</v>
      </c>
      <c r="E224" s="66">
        <v>8000</v>
      </c>
      <c r="F224" s="66">
        <f>B224*E224</f>
        <v>8000</v>
      </c>
    </row>
    <row r="225" spans="2:6" x14ac:dyDescent="0.25">
      <c r="B225" s="65">
        <v>1</v>
      </c>
      <c r="C225" s="71" t="s">
        <v>119</v>
      </c>
      <c r="D225" t="s">
        <v>133</v>
      </c>
      <c r="E225" s="66">
        <v>7000</v>
      </c>
      <c r="F225" s="66">
        <f t="shared" ref="F225:F228" si="14">B225*E225</f>
        <v>7000</v>
      </c>
    </row>
    <row r="226" spans="2:6" x14ac:dyDescent="0.25">
      <c r="B226" s="65">
        <v>1</v>
      </c>
      <c r="C226" s="71" t="s">
        <v>119</v>
      </c>
      <c r="D226" t="s">
        <v>134</v>
      </c>
      <c r="E226" s="66">
        <v>10000</v>
      </c>
      <c r="F226" s="66">
        <f t="shared" si="14"/>
        <v>10000</v>
      </c>
    </row>
    <row r="227" spans="2:6" x14ac:dyDescent="0.25">
      <c r="B227" s="65">
        <v>1</v>
      </c>
      <c r="C227" s="71" t="s">
        <v>119</v>
      </c>
      <c r="D227" t="s">
        <v>149</v>
      </c>
      <c r="E227" s="66">
        <v>13000</v>
      </c>
      <c r="F227" s="66">
        <f t="shared" si="14"/>
        <v>13000</v>
      </c>
    </row>
    <row r="228" spans="2:6" x14ac:dyDescent="0.25">
      <c r="B228" s="65">
        <v>1</v>
      </c>
      <c r="C228" s="71" t="s">
        <v>119</v>
      </c>
      <c r="D228" t="s">
        <v>148</v>
      </c>
      <c r="E228" s="66">
        <v>7000</v>
      </c>
      <c r="F228" s="66">
        <f t="shared" si="14"/>
        <v>7000</v>
      </c>
    </row>
    <row r="229" spans="2:6" x14ac:dyDescent="0.25">
      <c r="B229" s="65">
        <v>10</v>
      </c>
      <c r="C229" s="65" t="s">
        <v>123</v>
      </c>
      <c r="D229" t="s">
        <v>137</v>
      </c>
      <c r="E229" s="66">
        <v>15</v>
      </c>
      <c r="F229" s="67">
        <f t="shared" ref="F229:F235" si="15">B229*E229</f>
        <v>150</v>
      </c>
    </row>
    <row r="230" spans="2:6" x14ac:dyDescent="0.25">
      <c r="B230" s="65">
        <v>750</v>
      </c>
      <c r="C230" s="65" t="s">
        <v>116</v>
      </c>
      <c r="D230" t="s">
        <v>132</v>
      </c>
      <c r="E230" s="66">
        <v>0.2</v>
      </c>
      <c r="F230" s="67">
        <f t="shared" si="15"/>
        <v>150</v>
      </c>
    </row>
    <row r="231" spans="2:6" x14ac:dyDescent="0.25">
      <c r="B231" s="65">
        <v>105</v>
      </c>
      <c r="C231" s="65" t="s">
        <v>117</v>
      </c>
      <c r="D231" t="s">
        <v>131</v>
      </c>
      <c r="E231" s="66">
        <v>6</v>
      </c>
      <c r="F231" s="67">
        <f t="shared" si="15"/>
        <v>630</v>
      </c>
    </row>
    <row r="232" spans="2:6" x14ac:dyDescent="0.25">
      <c r="B232" s="65">
        <v>3</v>
      </c>
      <c r="C232" s="65" t="s">
        <v>140</v>
      </c>
      <c r="D232" t="s">
        <v>135</v>
      </c>
      <c r="E232" s="66">
        <v>0.5</v>
      </c>
      <c r="F232" s="67">
        <f t="shared" si="15"/>
        <v>1.5</v>
      </c>
    </row>
    <row r="233" spans="2:6" x14ac:dyDescent="0.25">
      <c r="B233" s="65">
        <v>15</v>
      </c>
      <c r="C233" s="65" t="s">
        <v>136</v>
      </c>
      <c r="D233" t="s">
        <v>139</v>
      </c>
      <c r="E233" s="66">
        <v>10</v>
      </c>
      <c r="F233" s="67">
        <f t="shared" si="15"/>
        <v>150</v>
      </c>
    </row>
    <row r="234" spans="2:6" x14ac:dyDescent="0.25">
      <c r="B234" s="65">
        <v>1</v>
      </c>
      <c r="C234" s="128" t="s">
        <v>233</v>
      </c>
      <c r="D234" t="s">
        <v>145</v>
      </c>
      <c r="E234" s="66">
        <f>F237*6%</f>
        <v>4200</v>
      </c>
      <c r="F234" s="67">
        <f t="shared" si="15"/>
        <v>4200</v>
      </c>
    </row>
    <row r="235" spans="2:6" ht="30" x14ac:dyDescent="0.25">
      <c r="B235" s="65">
        <v>1</v>
      </c>
      <c r="C235" s="73" t="s">
        <v>159</v>
      </c>
      <c r="D235" s="72" t="s">
        <v>232</v>
      </c>
      <c r="E235" s="66">
        <f>F237*14%</f>
        <v>9800.0000000000018</v>
      </c>
      <c r="F235" s="67">
        <f t="shared" si="15"/>
        <v>9800.0000000000018</v>
      </c>
    </row>
    <row r="236" spans="2:6" ht="15.75" x14ac:dyDescent="0.25">
      <c r="B236" s="288" t="s">
        <v>111</v>
      </c>
      <c r="C236" s="288"/>
      <c r="D236" s="288"/>
      <c r="E236" s="288"/>
      <c r="F236" s="70">
        <f>SUM(F221:F235)</f>
        <v>62381.5</v>
      </c>
    </row>
    <row r="237" spans="2:6" x14ac:dyDescent="0.25">
      <c r="B237" s="289" t="s">
        <v>112</v>
      </c>
      <c r="C237" s="289"/>
      <c r="D237" s="289"/>
      <c r="E237" s="289"/>
      <c r="F237" s="68">
        <v>70000</v>
      </c>
    </row>
    <row r="238" spans="2:6" x14ac:dyDescent="0.25">
      <c r="D238" s="284" t="s">
        <v>121</v>
      </c>
      <c r="E238" s="284"/>
      <c r="F238" s="69">
        <f>F237-F236</f>
        <v>7618.5</v>
      </c>
    </row>
    <row r="239" spans="2:6" x14ac:dyDescent="0.25">
      <c r="D239" s="74"/>
      <c r="E239" s="74"/>
      <c r="F239" s="69"/>
    </row>
    <row r="240" spans="2:6" x14ac:dyDescent="0.25">
      <c r="B240" t="s">
        <v>211</v>
      </c>
    </row>
    <row r="244" spans="2:6" x14ac:dyDescent="0.25">
      <c r="D244" s="16" t="s">
        <v>160</v>
      </c>
    </row>
    <row r="245" spans="2:6" x14ac:dyDescent="0.25">
      <c r="B245" s="290" t="s">
        <v>161</v>
      </c>
      <c r="C245" s="290"/>
      <c r="D245" s="290"/>
      <c r="E245" s="290"/>
      <c r="F245" s="290"/>
    </row>
    <row r="246" spans="2:6" x14ac:dyDescent="0.25">
      <c r="B246" s="24" t="s">
        <v>0</v>
      </c>
      <c r="C246" s="36" t="s">
        <v>109</v>
      </c>
      <c r="D246" s="24" t="s">
        <v>99</v>
      </c>
      <c r="E246" s="24" t="s">
        <v>100</v>
      </c>
      <c r="F246" s="24" t="s">
        <v>101</v>
      </c>
    </row>
    <row r="247" spans="2:6" x14ac:dyDescent="0.25">
      <c r="B247" s="65">
        <v>2</v>
      </c>
      <c r="C247" s="65" t="s">
        <v>104</v>
      </c>
      <c r="D247" t="s">
        <v>162</v>
      </c>
      <c r="E247" s="66">
        <v>100</v>
      </c>
      <c r="F247" s="66">
        <f>B247*E247</f>
        <v>200</v>
      </c>
    </row>
    <row r="248" spans="2:6" x14ac:dyDescent="0.25">
      <c r="B248" s="65">
        <v>2</v>
      </c>
      <c r="C248" s="65" t="s">
        <v>104</v>
      </c>
      <c r="D248" t="s">
        <v>113</v>
      </c>
      <c r="E248" s="66">
        <v>100</v>
      </c>
      <c r="F248" s="66">
        <f>B248*E248</f>
        <v>200</v>
      </c>
    </row>
    <row r="249" spans="2:6" x14ac:dyDescent="0.25">
      <c r="B249" s="65">
        <v>2</v>
      </c>
      <c r="C249" s="65" t="s">
        <v>143</v>
      </c>
      <c r="D249" t="s">
        <v>144</v>
      </c>
      <c r="E249" s="66">
        <v>500</v>
      </c>
      <c r="F249" s="66">
        <f>B249*E249</f>
        <v>1000</v>
      </c>
    </row>
    <row r="250" spans="2:6" x14ac:dyDescent="0.25">
      <c r="B250" s="65">
        <v>1</v>
      </c>
      <c r="C250" s="65" t="s">
        <v>119</v>
      </c>
      <c r="D250" t="s">
        <v>120</v>
      </c>
      <c r="E250" s="66">
        <v>3000</v>
      </c>
      <c r="F250" s="66">
        <f>B250*E250</f>
        <v>3000</v>
      </c>
    </row>
    <row r="251" spans="2:6" x14ac:dyDescent="0.25">
      <c r="B251" s="65">
        <v>1</v>
      </c>
      <c r="C251" s="71" t="s">
        <v>119</v>
      </c>
      <c r="D251" t="s">
        <v>133</v>
      </c>
      <c r="E251" s="66">
        <v>2400</v>
      </c>
      <c r="F251" s="66">
        <f t="shared" ref="F251:F253" si="16">B251*E251</f>
        <v>2400</v>
      </c>
    </row>
    <row r="252" spans="2:6" x14ac:dyDescent="0.25">
      <c r="B252" s="65">
        <v>1</v>
      </c>
      <c r="C252" s="71" t="s">
        <v>119</v>
      </c>
      <c r="D252" t="s">
        <v>134</v>
      </c>
      <c r="E252" s="66">
        <v>3000</v>
      </c>
      <c r="F252" s="66">
        <f t="shared" si="16"/>
        <v>3000</v>
      </c>
    </row>
    <row r="253" spans="2:6" x14ac:dyDescent="0.25">
      <c r="B253" s="65">
        <v>1</v>
      </c>
      <c r="C253" s="71" t="s">
        <v>119</v>
      </c>
      <c r="D253" t="s">
        <v>149</v>
      </c>
      <c r="E253" s="66">
        <v>2500</v>
      </c>
      <c r="F253" s="66">
        <f t="shared" si="16"/>
        <v>2500</v>
      </c>
    </row>
    <row r="254" spans="2:6" x14ac:dyDescent="0.25">
      <c r="B254" s="65">
        <v>6</v>
      </c>
      <c r="C254" s="65" t="s">
        <v>123</v>
      </c>
      <c r="D254" t="s">
        <v>137</v>
      </c>
      <c r="E254" s="66">
        <v>15</v>
      </c>
      <c r="F254" s="67">
        <f t="shared" ref="F254:F260" si="17">B254*E254</f>
        <v>90</v>
      </c>
    </row>
    <row r="255" spans="2:6" x14ac:dyDescent="0.25">
      <c r="B255" s="65">
        <v>450</v>
      </c>
      <c r="C255" s="65" t="s">
        <v>116</v>
      </c>
      <c r="D255" t="s">
        <v>163</v>
      </c>
      <c r="E255" s="66">
        <v>0.2</v>
      </c>
      <c r="F255" s="67">
        <f t="shared" si="17"/>
        <v>90</v>
      </c>
    </row>
    <row r="256" spans="2:6" x14ac:dyDescent="0.25">
      <c r="B256" s="65">
        <v>75</v>
      </c>
      <c r="C256" s="65" t="s">
        <v>117</v>
      </c>
      <c r="D256" t="s">
        <v>131</v>
      </c>
      <c r="E256" s="66">
        <v>6</v>
      </c>
      <c r="F256" s="67">
        <f t="shared" si="17"/>
        <v>450</v>
      </c>
    </row>
    <row r="257" spans="2:6" x14ac:dyDescent="0.25">
      <c r="B257" s="65">
        <v>3</v>
      </c>
      <c r="C257" s="65" t="s">
        <v>140</v>
      </c>
      <c r="D257" t="s">
        <v>135</v>
      </c>
      <c r="E257" s="66">
        <v>0.5</v>
      </c>
      <c r="F257" s="67">
        <f t="shared" si="17"/>
        <v>1.5</v>
      </c>
    </row>
    <row r="258" spans="2:6" x14ac:dyDescent="0.25">
      <c r="B258" s="65">
        <v>6</v>
      </c>
      <c r="C258" s="65" t="s">
        <v>136</v>
      </c>
      <c r="D258" t="s">
        <v>139</v>
      </c>
      <c r="E258" s="66">
        <v>10</v>
      </c>
      <c r="F258" s="67">
        <f t="shared" si="17"/>
        <v>60</v>
      </c>
    </row>
    <row r="259" spans="2:6" x14ac:dyDescent="0.25">
      <c r="B259" s="65">
        <v>1</v>
      </c>
      <c r="C259" s="128" t="s">
        <v>233</v>
      </c>
      <c r="D259" t="s">
        <v>165</v>
      </c>
      <c r="E259" s="66">
        <f>F262*6%</f>
        <v>1200</v>
      </c>
      <c r="F259" s="67">
        <f t="shared" si="17"/>
        <v>1200</v>
      </c>
    </row>
    <row r="260" spans="2:6" x14ac:dyDescent="0.25">
      <c r="B260" s="65">
        <v>1</v>
      </c>
      <c r="C260" s="128" t="s">
        <v>233</v>
      </c>
      <c r="D260" t="s">
        <v>164</v>
      </c>
      <c r="E260" s="66">
        <f>F262*6%</f>
        <v>1200</v>
      </c>
      <c r="F260" s="67">
        <f t="shared" si="17"/>
        <v>1200</v>
      </c>
    </row>
    <row r="261" spans="2:6" ht="15.75" x14ac:dyDescent="0.25">
      <c r="B261" s="288" t="s">
        <v>111</v>
      </c>
      <c r="C261" s="288"/>
      <c r="D261" s="288"/>
      <c r="E261" s="288"/>
      <c r="F261" s="70">
        <f>SUM(F247:F260)</f>
        <v>15391.5</v>
      </c>
    </row>
    <row r="262" spans="2:6" x14ac:dyDescent="0.25">
      <c r="B262" s="289" t="s">
        <v>112</v>
      </c>
      <c r="C262" s="289"/>
      <c r="D262" s="289"/>
      <c r="E262" s="289"/>
      <c r="F262" s="68">
        <v>20000</v>
      </c>
    </row>
    <row r="263" spans="2:6" x14ac:dyDescent="0.25">
      <c r="D263" s="284" t="s">
        <v>121</v>
      </c>
      <c r="E263" s="284"/>
      <c r="F263" s="69">
        <f>F262-F261</f>
        <v>4608.5</v>
      </c>
    </row>
    <row r="264" spans="2:6" x14ac:dyDescent="0.25">
      <c r="B264" t="s">
        <v>211</v>
      </c>
    </row>
  </sheetData>
  <mergeCells count="46">
    <mergeCell ref="B261:E261"/>
    <mergeCell ref="B262:E262"/>
    <mergeCell ref="D263:E263"/>
    <mergeCell ref="D210:E210"/>
    <mergeCell ref="B219:F219"/>
    <mergeCell ref="B236:E236"/>
    <mergeCell ref="B237:E237"/>
    <mergeCell ref="D238:E238"/>
    <mergeCell ref="B245:F245"/>
    <mergeCell ref="D118:E118"/>
    <mergeCell ref="B130:F130"/>
    <mergeCell ref="B145:E145"/>
    <mergeCell ref="B209:E209"/>
    <mergeCell ref="D147:E147"/>
    <mergeCell ref="B156:F156"/>
    <mergeCell ref="B172:E172"/>
    <mergeCell ref="B173:E173"/>
    <mergeCell ref="D174:E174"/>
    <mergeCell ref="B191:F191"/>
    <mergeCell ref="B208:E208"/>
    <mergeCell ref="B41:F41"/>
    <mergeCell ref="B52:E52"/>
    <mergeCell ref="B53:E53"/>
    <mergeCell ref="B146:E146"/>
    <mergeCell ref="D54:E54"/>
    <mergeCell ref="B65:F65"/>
    <mergeCell ref="B77:E77"/>
    <mergeCell ref="B78:E78"/>
    <mergeCell ref="D79:E79"/>
    <mergeCell ref="B103:F103"/>
    <mergeCell ref="B84:F84"/>
    <mergeCell ref="B96:E96"/>
    <mergeCell ref="B97:E97"/>
    <mergeCell ref="D98:E98"/>
    <mergeCell ref="B116:E116"/>
    <mergeCell ref="B117:E117"/>
    <mergeCell ref="D21:E21"/>
    <mergeCell ref="D35:E35"/>
    <mergeCell ref="B6:F6"/>
    <mergeCell ref="B7:F7"/>
    <mergeCell ref="B13:F13"/>
    <mergeCell ref="B19:E19"/>
    <mergeCell ref="B20:E20"/>
    <mergeCell ref="B27:F27"/>
    <mergeCell ref="B33:E33"/>
    <mergeCell ref="B34:E34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M33"/>
  <sheetViews>
    <sheetView topLeftCell="B16" zoomScale="90" zoomScaleNormal="90" workbookViewId="0">
      <selection activeCell="H10" sqref="H10"/>
    </sheetView>
  </sheetViews>
  <sheetFormatPr baseColWidth="10" defaultRowHeight="15" x14ac:dyDescent="0.25"/>
  <cols>
    <col min="1" max="1" width="5.85546875" customWidth="1"/>
    <col min="2" max="2" width="9.7109375" customWidth="1"/>
    <col min="3" max="3" width="51.140625" customWidth="1"/>
    <col min="4" max="4" width="19.28515625" customWidth="1"/>
    <col min="5" max="5" width="20.140625" customWidth="1"/>
    <col min="6" max="6" width="18.5703125" customWidth="1"/>
    <col min="7" max="9" width="16" customWidth="1"/>
    <col min="10" max="10" width="3.85546875" customWidth="1"/>
    <col min="11" max="11" width="16.28515625" customWidth="1"/>
    <col min="12" max="12" width="19.140625" customWidth="1"/>
    <col min="13" max="13" width="15" customWidth="1"/>
  </cols>
  <sheetData>
    <row r="6" spans="2:13" ht="18" customHeight="1" x14ac:dyDescent="0.25"/>
    <row r="7" spans="2:13" ht="34.5" customHeight="1" x14ac:dyDescent="0.35">
      <c r="B7" s="291" t="s">
        <v>191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</row>
    <row r="9" spans="2:13" ht="81" customHeight="1" thickBot="1" x14ac:dyDescent="0.3">
      <c r="B9" s="94" t="s">
        <v>167</v>
      </c>
      <c r="C9" s="94" t="s">
        <v>198</v>
      </c>
      <c r="D9" s="23" t="s">
        <v>185</v>
      </c>
      <c r="E9" s="23" t="s">
        <v>187</v>
      </c>
      <c r="F9" s="23" t="s">
        <v>186</v>
      </c>
      <c r="G9" s="23" t="s">
        <v>331</v>
      </c>
      <c r="H9" s="23" t="s">
        <v>199</v>
      </c>
      <c r="I9" s="105" t="s">
        <v>205</v>
      </c>
      <c r="K9" s="95" t="s">
        <v>200</v>
      </c>
      <c r="L9" s="95" t="s">
        <v>202</v>
      </c>
    </row>
    <row r="10" spans="2:13" ht="30" x14ac:dyDescent="0.25">
      <c r="B10" s="123" t="s">
        <v>128</v>
      </c>
      <c r="C10" s="114" t="s">
        <v>168</v>
      </c>
      <c r="D10" s="81">
        <v>0.12</v>
      </c>
      <c r="E10" s="82">
        <f>'COSTO VARIABLE UNITARIO'!F20</f>
        <v>2500</v>
      </c>
      <c r="F10" s="83">
        <f>'COSTO VARIABLE UNITARIO'!F19</f>
        <v>503.59999999999997</v>
      </c>
      <c r="G10" s="99">
        <f>$E$26*D10</f>
        <v>2538.1799999999998</v>
      </c>
      <c r="H10" s="100">
        <f>F10*K10</f>
        <v>640.26620316569813</v>
      </c>
      <c r="I10" s="100">
        <f>E10*K10</f>
        <v>3178.4462031656981</v>
      </c>
      <c r="J10" s="85"/>
      <c r="K10" s="84">
        <f>G10/(E10-F10)</f>
        <v>1.2713784812662792</v>
      </c>
      <c r="L10" s="83">
        <f>G10/(1-(F10/E10))</f>
        <v>3178.4462031656981</v>
      </c>
      <c r="M10" s="67"/>
    </row>
    <row r="11" spans="2:13" ht="30" x14ac:dyDescent="0.25">
      <c r="B11" s="123" t="s">
        <v>127</v>
      </c>
      <c r="C11" s="114" t="s">
        <v>126</v>
      </c>
      <c r="D11" s="81">
        <v>0.1</v>
      </c>
      <c r="E11" s="82">
        <f>'COSTO VARIABLE UNITARIO'!F34</f>
        <v>2400</v>
      </c>
      <c r="F11" s="83">
        <f>'COSTO VARIABLE UNITARIO'!F33</f>
        <v>499.59999999999997</v>
      </c>
      <c r="G11" s="99">
        <f>$E$26*D11</f>
        <v>2115.15</v>
      </c>
      <c r="H11" s="101">
        <f t="shared" ref="H11:H20" si="0">F11*K11</f>
        <v>556.05606188170907</v>
      </c>
      <c r="I11" s="101">
        <f t="shared" ref="I11:I20" si="1">E11*K11</f>
        <v>2671.206061881709</v>
      </c>
      <c r="J11" s="85"/>
      <c r="K11" s="84">
        <f t="shared" ref="K11:K20" si="2">G11/(E11-F11)</f>
        <v>1.1130025257840455</v>
      </c>
      <c r="L11" s="83">
        <f t="shared" ref="L11:L20" si="3">G11/(1-(F11/E11))</f>
        <v>2671.206061881709</v>
      </c>
      <c r="M11" s="67"/>
    </row>
    <row r="12" spans="2:13" ht="30" x14ac:dyDescent="0.25">
      <c r="B12" s="123" t="s">
        <v>124</v>
      </c>
      <c r="C12" s="115" t="s">
        <v>169</v>
      </c>
      <c r="D12" s="81">
        <v>0.08</v>
      </c>
      <c r="E12" s="82">
        <f>'COSTO VARIABLE UNITARIO'!F53</f>
        <v>5000</v>
      </c>
      <c r="F12" s="83">
        <f>'COSTO VARIABLE UNITARIO'!F52</f>
        <v>3053.6</v>
      </c>
      <c r="G12" s="99">
        <f t="shared" ref="G12:G20" si="4">$E$26*D12</f>
        <v>1692.1200000000001</v>
      </c>
      <c r="H12" s="101">
        <f t="shared" si="0"/>
        <v>2654.6740813810111</v>
      </c>
      <c r="I12" s="101">
        <f t="shared" si="1"/>
        <v>4346.794081381011</v>
      </c>
      <c r="J12" s="85"/>
      <c r="K12" s="84">
        <f t="shared" si="2"/>
        <v>0.86935881627620226</v>
      </c>
      <c r="L12" s="83">
        <f t="shared" si="3"/>
        <v>4346.794081381011</v>
      </c>
      <c r="M12" s="67"/>
    </row>
    <row r="13" spans="2:13" ht="38.25" customHeight="1" x14ac:dyDescent="0.25">
      <c r="B13" s="123" t="s">
        <v>129</v>
      </c>
      <c r="C13" s="115" t="s">
        <v>170</v>
      </c>
      <c r="D13" s="81">
        <v>0.1</v>
      </c>
      <c r="E13" s="83">
        <f>'COSTO VARIABLE UNITARIO'!F78</f>
        <v>5100</v>
      </c>
      <c r="F13" s="83">
        <f>'COSTO VARIABLE UNITARIO'!F77</f>
        <v>3376.5</v>
      </c>
      <c r="G13" s="99">
        <f t="shared" si="4"/>
        <v>2115.15</v>
      </c>
      <c r="H13" s="101">
        <f t="shared" si="0"/>
        <v>4143.7795039164494</v>
      </c>
      <c r="I13" s="101">
        <f t="shared" si="1"/>
        <v>6258.929503916449</v>
      </c>
      <c r="J13" s="85"/>
      <c r="K13" s="84">
        <f t="shared" si="2"/>
        <v>1.2272410791993038</v>
      </c>
      <c r="L13" s="83">
        <f t="shared" si="3"/>
        <v>6258.9295039164499</v>
      </c>
      <c r="M13" s="67"/>
    </row>
    <row r="14" spans="2:13" ht="37.5" customHeight="1" x14ac:dyDescent="0.25">
      <c r="B14" s="123" t="s">
        <v>141</v>
      </c>
      <c r="C14" s="115" t="s">
        <v>173</v>
      </c>
      <c r="D14" s="81">
        <v>0.13</v>
      </c>
      <c r="E14" s="83">
        <f>'COSTO VARIABLE UNITARIO'!F97</f>
        <v>7500</v>
      </c>
      <c r="F14" s="83">
        <f>'COSTO VARIABLE UNITARIO'!F96</f>
        <v>5444.5</v>
      </c>
      <c r="G14" s="99">
        <f t="shared" si="4"/>
        <v>2749.6950000000002</v>
      </c>
      <c r="H14" s="101">
        <f t="shared" si="0"/>
        <v>7283.2471065434202</v>
      </c>
      <c r="I14" s="101">
        <f t="shared" si="1"/>
        <v>10032.94210654342</v>
      </c>
      <c r="J14" s="85"/>
      <c r="K14" s="84">
        <f t="shared" si="2"/>
        <v>1.3377256142057894</v>
      </c>
      <c r="L14" s="83">
        <f t="shared" si="3"/>
        <v>10032.94210654342</v>
      </c>
      <c r="M14" s="67"/>
    </row>
    <row r="15" spans="2:13" ht="30" x14ac:dyDescent="0.25">
      <c r="B15" s="123" t="s">
        <v>146</v>
      </c>
      <c r="C15" s="115" t="s">
        <v>174</v>
      </c>
      <c r="D15" s="81">
        <v>0.15</v>
      </c>
      <c r="E15" s="83">
        <f>'COSTO VARIABLE UNITARIO'!F117</f>
        <v>12000</v>
      </c>
      <c r="F15" s="83">
        <f>'COSTO VARIABLE UNITARIO'!F116</f>
        <v>8361.5</v>
      </c>
      <c r="G15" s="99">
        <f t="shared" si="4"/>
        <v>3172.7249999999999</v>
      </c>
      <c r="H15" s="101">
        <f t="shared" si="0"/>
        <v>7291.1199910677478</v>
      </c>
      <c r="I15" s="101">
        <f t="shared" si="1"/>
        <v>10463.844991067748</v>
      </c>
      <c r="J15" s="85"/>
      <c r="K15" s="84">
        <f t="shared" si="2"/>
        <v>0.87198708258897895</v>
      </c>
      <c r="L15" s="83">
        <f t="shared" si="3"/>
        <v>10463.844991067748</v>
      </c>
      <c r="M15" s="67"/>
    </row>
    <row r="16" spans="2:13" ht="30" x14ac:dyDescent="0.25">
      <c r="B16" s="123" t="s">
        <v>151</v>
      </c>
      <c r="C16" s="115" t="s">
        <v>175</v>
      </c>
      <c r="D16" s="81">
        <v>0.15</v>
      </c>
      <c r="E16" s="83">
        <f>'COSTO VARIABLE UNITARIO'!F146</f>
        <v>22000</v>
      </c>
      <c r="F16" s="83">
        <f>'COSTO VARIABLE UNITARIO'!F145</f>
        <v>16981.5</v>
      </c>
      <c r="G16" s="99">
        <f t="shared" si="4"/>
        <v>3172.7249999999999</v>
      </c>
      <c r="H16" s="101">
        <f t="shared" si="0"/>
        <v>10735.803444754409</v>
      </c>
      <c r="I16" s="101">
        <f t="shared" si="1"/>
        <v>13908.528444754409</v>
      </c>
      <c r="J16" s="85"/>
      <c r="K16" s="84">
        <f t="shared" si="2"/>
        <v>0.63220583839792766</v>
      </c>
      <c r="L16" s="83">
        <f t="shared" si="3"/>
        <v>13908.528444754409</v>
      </c>
      <c r="M16" s="67"/>
    </row>
    <row r="17" spans="2:13" ht="30" x14ac:dyDescent="0.25">
      <c r="B17" s="123" t="s">
        <v>153</v>
      </c>
      <c r="C17" s="115" t="s">
        <v>171</v>
      </c>
      <c r="D17" s="81">
        <v>0.06</v>
      </c>
      <c r="E17" s="83">
        <f>'COSTO VARIABLE UNITARIO'!F173</f>
        <v>33000</v>
      </c>
      <c r="F17" s="83">
        <f>'COSTO VARIABLE UNITARIO'!F172</f>
        <v>27591.5</v>
      </c>
      <c r="G17" s="99">
        <f t="shared" si="4"/>
        <v>1269.0899999999999</v>
      </c>
      <c r="H17" s="101">
        <f t="shared" si="0"/>
        <v>6474.2713756124613</v>
      </c>
      <c r="I17" s="101">
        <f t="shared" si="1"/>
        <v>7743.3613756124614</v>
      </c>
      <c r="J17" s="85"/>
      <c r="K17" s="84">
        <f t="shared" si="2"/>
        <v>0.23464731441249884</v>
      </c>
      <c r="L17" s="83">
        <f t="shared" si="3"/>
        <v>7743.3613756124623</v>
      </c>
      <c r="M17" s="67"/>
    </row>
    <row r="18" spans="2:13" ht="30" x14ac:dyDescent="0.25">
      <c r="B18" s="123" t="s">
        <v>154</v>
      </c>
      <c r="C18" s="115" t="s">
        <v>176</v>
      </c>
      <c r="D18" s="81">
        <v>0.01</v>
      </c>
      <c r="E18" s="83">
        <f>'COSTO VARIABLE UNITARIO'!F209</f>
        <v>55000</v>
      </c>
      <c r="F18" s="83">
        <f>'COSTO VARIABLE UNITARIO'!F208</f>
        <v>47231.5</v>
      </c>
      <c r="G18" s="99">
        <f t="shared" si="4"/>
        <v>211.51500000000001</v>
      </c>
      <c r="H18" s="101">
        <f t="shared" si="0"/>
        <v>1285.9845172813286</v>
      </c>
      <c r="I18" s="101">
        <f t="shared" si="1"/>
        <v>1497.4995172813285</v>
      </c>
      <c r="J18" s="85"/>
      <c r="K18" s="84">
        <f t="shared" si="2"/>
        <v>2.7227263950569611E-2</v>
      </c>
      <c r="L18" s="83">
        <f t="shared" si="3"/>
        <v>1497.4995172813283</v>
      </c>
      <c r="M18" s="67"/>
    </row>
    <row r="19" spans="2:13" ht="30" x14ac:dyDescent="0.25">
      <c r="B19" s="123" t="s">
        <v>157</v>
      </c>
      <c r="C19" s="115" t="s">
        <v>177</v>
      </c>
      <c r="D19" s="81">
        <v>0</v>
      </c>
      <c r="E19" s="83">
        <f>'COSTO VARIABLE UNITARIO'!F237</f>
        <v>70000</v>
      </c>
      <c r="F19" s="83">
        <f>'COSTO VARIABLE UNITARIO'!F236</f>
        <v>62381.5</v>
      </c>
      <c r="G19" s="99">
        <f t="shared" si="4"/>
        <v>0</v>
      </c>
      <c r="H19" s="101">
        <f t="shared" si="0"/>
        <v>0</v>
      </c>
      <c r="I19" s="101">
        <f t="shared" si="1"/>
        <v>0</v>
      </c>
      <c r="J19" s="85"/>
      <c r="K19" s="84">
        <f t="shared" si="2"/>
        <v>0</v>
      </c>
      <c r="L19" s="83">
        <f t="shared" si="3"/>
        <v>0</v>
      </c>
      <c r="M19" s="67"/>
    </row>
    <row r="20" spans="2:13" ht="30" x14ac:dyDescent="0.25">
      <c r="B20" s="123" t="s">
        <v>160</v>
      </c>
      <c r="C20" s="115" t="s">
        <v>178</v>
      </c>
      <c r="D20" s="81">
        <v>0.1</v>
      </c>
      <c r="E20" s="83">
        <f>'COSTO VARIABLE UNITARIO'!F262</f>
        <v>20000</v>
      </c>
      <c r="F20" s="83">
        <f>'COSTO VARIABLE UNITARIO'!F261</f>
        <v>15391.5</v>
      </c>
      <c r="G20" s="99">
        <f t="shared" si="4"/>
        <v>2115.15</v>
      </c>
      <c r="H20" s="101">
        <f t="shared" si="0"/>
        <v>7064.1925192578938</v>
      </c>
      <c r="I20" s="101">
        <f t="shared" si="1"/>
        <v>9179.3425192578943</v>
      </c>
      <c r="J20" s="85"/>
      <c r="K20" s="84">
        <f t="shared" si="2"/>
        <v>0.45896712596289468</v>
      </c>
      <c r="L20" s="83">
        <f t="shared" si="3"/>
        <v>9179.3425192578943</v>
      </c>
      <c r="M20" s="67"/>
    </row>
    <row r="21" spans="2:13" ht="19.5" thickBot="1" x14ac:dyDescent="0.35">
      <c r="B21" s="292" t="s">
        <v>201</v>
      </c>
      <c r="C21" s="292"/>
      <c r="D21" s="98">
        <f>SUM(D10:D20)</f>
        <v>1.0000000000000002</v>
      </c>
      <c r="G21" s="102">
        <f>SUM(G10:G20)</f>
        <v>21151.5</v>
      </c>
      <c r="H21" s="103">
        <f>SUM(H10:H20)</f>
        <v>48129.394804862131</v>
      </c>
      <c r="I21" s="104">
        <f>SUM(I10:I20)</f>
        <v>69280.894804862124</v>
      </c>
      <c r="J21" s="85"/>
      <c r="K21" s="96">
        <f>SUM(K10:K20)</f>
        <v>8.0437411420444889</v>
      </c>
      <c r="L21" s="97">
        <f>SUM(L10:L20)</f>
        <v>69280.894804862124</v>
      </c>
      <c r="M21" s="67"/>
    </row>
    <row r="22" spans="2:13" ht="15.75" x14ac:dyDescent="0.25">
      <c r="B22" s="85"/>
      <c r="C22" s="89"/>
      <c r="D22" s="90"/>
      <c r="E22" s="93"/>
      <c r="F22" s="93"/>
      <c r="G22" s="91"/>
      <c r="H22" s="93"/>
      <c r="I22" s="93"/>
      <c r="J22" s="85"/>
      <c r="K22" s="92"/>
      <c r="L22" s="93"/>
      <c r="M22" s="67"/>
    </row>
    <row r="23" spans="2:13" ht="15.75" x14ac:dyDescent="0.25">
      <c r="B23" s="85"/>
      <c r="C23" s="89"/>
      <c r="D23" s="90"/>
      <c r="E23" s="93"/>
      <c r="F23" s="93"/>
      <c r="G23" s="93"/>
      <c r="H23" s="93"/>
      <c r="I23" s="93"/>
      <c r="J23" s="85"/>
      <c r="K23" s="92"/>
      <c r="L23" s="93"/>
      <c r="M23" s="67"/>
    </row>
    <row r="24" spans="2:13" x14ac:dyDescent="0.25">
      <c r="H24" s="67"/>
      <c r="I24" s="67"/>
    </row>
    <row r="25" spans="2:13" ht="15.75" x14ac:dyDescent="0.25">
      <c r="D25" s="76" t="s">
        <v>204</v>
      </c>
      <c r="E25" s="20">
        <f>H21</f>
        <v>48129.394804862131</v>
      </c>
    </row>
    <row r="26" spans="2:13" ht="15.75" x14ac:dyDescent="0.25">
      <c r="D26" s="76" t="s">
        <v>179</v>
      </c>
      <c r="E26" s="20">
        <f>'INVERSION INICIAL'!E81</f>
        <v>21151.5</v>
      </c>
    </row>
    <row r="27" spans="2:13" ht="15.75" x14ac:dyDescent="0.25">
      <c r="D27" s="76" t="s">
        <v>203</v>
      </c>
      <c r="E27" s="20">
        <f>SUM(E25:E26)</f>
        <v>69280.894804862124</v>
      </c>
    </row>
    <row r="29" spans="2:13" ht="18.75" x14ac:dyDescent="0.3">
      <c r="D29" s="77" t="s">
        <v>182</v>
      </c>
      <c r="E29" s="87">
        <f>K21</f>
        <v>8.0437411420444889</v>
      </c>
      <c r="F29" s="88" t="s">
        <v>192</v>
      </c>
    </row>
    <row r="30" spans="2:13" x14ac:dyDescent="0.25">
      <c r="D30" s="79"/>
    </row>
    <row r="31" spans="2:13" ht="18.75" x14ac:dyDescent="0.3">
      <c r="D31" s="75" t="s">
        <v>183</v>
      </c>
      <c r="E31" s="86">
        <f>L21</f>
        <v>69280.894804862124</v>
      </c>
      <c r="F31" s="88" t="s">
        <v>184</v>
      </c>
    </row>
    <row r="33" spans="2:2" x14ac:dyDescent="0.25">
      <c r="B33" t="s">
        <v>211</v>
      </c>
    </row>
  </sheetData>
  <mergeCells count="2">
    <mergeCell ref="B7:L7"/>
    <mergeCell ref="B21:C21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60" verticalDpi="36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63"/>
  <sheetViews>
    <sheetView topLeftCell="A41" zoomScale="130" zoomScaleNormal="130" workbookViewId="0">
      <selection activeCell="H61" sqref="H61"/>
    </sheetView>
  </sheetViews>
  <sheetFormatPr baseColWidth="10" defaultRowHeight="15" x14ac:dyDescent="0.25"/>
  <cols>
    <col min="1" max="1" width="9.7109375" customWidth="1"/>
    <col min="2" max="2" width="13.85546875" customWidth="1"/>
    <col min="3" max="3" width="16.140625" customWidth="1"/>
    <col min="4" max="4" width="15.140625" customWidth="1"/>
    <col min="5" max="5" width="16.140625" customWidth="1"/>
    <col min="6" max="6" width="17.5703125" customWidth="1"/>
    <col min="7" max="7" width="19" customWidth="1"/>
    <col min="8" max="8" width="17.7109375" customWidth="1"/>
  </cols>
  <sheetData>
    <row r="6" spans="2:8" ht="18.75" x14ac:dyDescent="0.3">
      <c r="B6" s="233" t="s">
        <v>190</v>
      </c>
      <c r="C6" s="233"/>
      <c r="D6" s="233"/>
      <c r="E6" s="233"/>
      <c r="F6" s="233"/>
      <c r="G6" s="233"/>
      <c r="H6" s="233"/>
    </row>
    <row r="8" spans="2:8" ht="15.75" x14ac:dyDescent="0.25">
      <c r="B8" s="297" t="s">
        <v>210</v>
      </c>
      <c r="C8" s="297"/>
      <c r="D8" s="297"/>
      <c r="E8" s="297"/>
      <c r="F8" s="297"/>
    </row>
    <row r="9" spans="2:8" ht="15.75" x14ac:dyDescent="0.25">
      <c r="B9" s="78"/>
      <c r="C9" s="78"/>
      <c r="D9" s="78"/>
      <c r="E9" s="78"/>
    </row>
    <row r="10" spans="2:8" ht="15.75" x14ac:dyDescent="0.25">
      <c r="B10" s="296" t="s">
        <v>179</v>
      </c>
      <c r="C10" s="296"/>
      <c r="D10" s="296"/>
      <c r="E10" s="295">
        <f>'PUNTO DE EQUILIBRIO'!E26</f>
        <v>21151.5</v>
      </c>
      <c r="F10" s="295"/>
    </row>
    <row r="11" spans="2:8" ht="15.75" x14ac:dyDescent="0.25">
      <c r="B11" s="296" t="s">
        <v>206</v>
      </c>
      <c r="C11" s="296"/>
      <c r="D11" s="296"/>
      <c r="E11" s="295">
        <f>'PUNTO DE EQUILIBRIO'!H21</f>
        <v>48129.394804862131</v>
      </c>
      <c r="F11" s="294"/>
    </row>
    <row r="12" spans="2:8" ht="15.75" x14ac:dyDescent="0.25">
      <c r="B12" s="296" t="s">
        <v>207</v>
      </c>
      <c r="C12" s="296"/>
      <c r="D12" s="296"/>
      <c r="E12" s="295">
        <f>'PUNTO DE EQUILIBRIO'!I21</f>
        <v>69280.894804862124</v>
      </c>
      <c r="F12" s="294"/>
    </row>
    <row r="13" spans="2:8" ht="15.75" x14ac:dyDescent="0.25">
      <c r="B13" s="296" t="s">
        <v>189</v>
      </c>
      <c r="C13" s="296"/>
      <c r="D13" s="296"/>
      <c r="E13" s="293">
        <f>'PUNTO DE EQUILIBRIO'!E29</f>
        <v>8.0437411420444889</v>
      </c>
      <c r="F13" s="294"/>
    </row>
    <row r="14" spans="2:8" ht="15.75" x14ac:dyDescent="0.25">
      <c r="B14" s="296" t="s">
        <v>188</v>
      </c>
      <c r="C14" s="296"/>
      <c r="D14" s="296"/>
      <c r="E14" s="295">
        <f>'PUNTO DE EQUILIBRIO'!E31</f>
        <v>69280.894804862124</v>
      </c>
      <c r="F14" s="294"/>
    </row>
    <row r="17" spans="2:8" ht="56.25" customHeight="1" x14ac:dyDescent="0.25">
      <c r="B17" s="23" t="s">
        <v>208</v>
      </c>
      <c r="C17" s="36" t="s">
        <v>193</v>
      </c>
      <c r="D17" s="23" t="s">
        <v>209</v>
      </c>
      <c r="E17" s="23" t="s">
        <v>194</v>
      </c>
      <c r="F17" s="23" t="s">
        <v>195</v>
      </c>
      <c r="G17" s="23" t="s">
        <v>196</v>
      </c>
      <c r="H17" s="23" t="s">
        <v>197</v>
      </c>
    </row>
    <row r="18" spans="2:8" ht="15.75" x14ac:dyDescent="0.25">
      <c r="B18" s="106">
        <v>0</v>
      </c>
      <c r="C18" s="83">
        <f>'PUNTO DE EQUILIBRIO'!E26</f>
        <v>21151.5</v>
      </c>
      <c r="D18" s="82">
        <f>(B18*$D$26)/$B$26</f>
        <v>0</v>
      </c>
      <c r="E18" s="83">
        <f>C18+D18</f>
        <v>21151.5</v>
      </c>
      <c r="F18" s="83">
        <f>(B18*$F$26)/$B$26</f>
        <v>0</v>
      </c>
      <c r="G18" s="126">
        <f>F18-E18</f>
        <v>-21151.5</v>
      </c>
      <c r="H18" s="82">
        <f>(C18+D18)/2</f>
        <v>10575.75</v>
      </c>
    </row>
    <row r="19" spans="2:8" ht="15.75" x14ac:dyDescent="0.25">
      <c r="B19" s="106">
        <f>B26/8</f>
        <v>1.0054676427555611</v>
      </c>
      <c r="C19" s="83">
        <f>'PUNTO DE EQUILIBRIO'!E26</f>
        <v>21151.5</v>
      </c>
      <c r="D19" s="82">
        <f t="shared" ref="D19:D25" si="0">(B19*$D$26)/$B$26</f>
        <v>6016.1743506077664</v>
      </c>
      <c r="E19" s="83">
        <f t="shared" ref="E19:E25" si="1">C19+D19</f>
        <v>27167.674350607766</v>
      </c>
      <c r="F19" s="83">
        <f t="shared" ref="F19:F25" si="2">(B19*$F$26)/$B$26</f>
        <v>8660.1118506077655</v>
      </c>
      <c r="G19" s="126">
        <f t="shared" ref="G19:G30" si="3">F19-E19</f>
        <v>-18507.5625</v>
      </c>
      <c r="H19" s="82">
        <f t="shared" ref="H19:H30" si="4">(C19+D19)/2</f>
        <v>13583.837175303883</v>
      </c>
    </row>
    <row r="20" spans="2:8" ht="15.75" x14ac:dyDescent="0.25">
      <c r="B20" s="106">
        <f>($B$26/8)+B19</f>
        <v>2.0109352855111222</v>
      </c>
      <c r="C20" s="83">
        <f>'PUNTO DE EQUILIBRIO'!E26</f>
        <v>21151.5</v>
      </c>
      <c r="D20" s="82">
        <f t="shared" si="0"/>
        <v>12032.348701215533</v>
      </c>
      <c r="E20" s="83">
        <f t="shared" si="1"/>
        <v>33183.848701215531</v>
      </c>
      <c r="F20" s="83">
        <f t="shared" si="2"/>
        <v>17320.223701215531</v>
      </c>
      <c r="G20" s="126">
        <f t="shared" si="3"/>
        <v>-15863.625</v>
      </c>
      <c r="H20" s="82">
        <f t="shared" si="4"/>
        <v>16591.924350607766</v>
      </c>
    </row>
    <row r="21" spans="2:8" ht="15.75" x14ac:dyDescent="0.25">
      <c r="B21" s="106">
        <f>($B$26/8)+B20</f>
        <v>3.0164029282666833</v>
      </c>
      <c r="C21" s="83">
        <f>'PUNTO DE EQUILIBRIO'!E26</f>
        <v>21151.5</v>
      </c>
      <c r="D21" s="82">
        <f t="shared" si="0"/>
        <v>18048.5230518233</v>
      </c>
      <c r="E21" s="83">
        <f t="shared" si="1"/>
        <v>39200.0230518233</v>
      </c>
      <c r="F21" s="83">
        <f t="shared" si="2"/>
        <v>25980.335551823297</v>
      </c>
      <c r="G21" s="126">
        <f t="shared" si="3"/>
        <v>-13219.687500000004</v>
      </c>
      <c r="H21" s="82">
        <f t="shared" si="4"/>
        <v>19600.01152591165</v>
      </c>
    </row>
    <row r="22" spans="2:8" ht="15.75" x14ac:dyDescent="0.25">
      <c r="B22" s="106">
        <f t="shared" ref="B22:B25" si="5">($B$26/8)+B21</f>
        <v>4.0218705710222444</v>
      </c>
      <c r="C22" s="83">
        <f>'PUNTO DE EQUILIBRIO'!E26</f>
        <v>21151.5</v>
      </c>
      <c r="D22" s="82">
        <f t="shared" si="0"/>
        <v>24064.697402431066</v>
      </c>
      <c r="E22" s="83">
        <f t="shared" si="1"/>
        <v>45216.197402431062</v>
      </c>
      <c r="F22" s="83">
        <f t="shared" si="2"/>
        <v>34640.447402431062</v>
      </c>
      <c r="G22" s="126">
        <f t="shared" si="3"/>
        <v>-10575.75</v>
      </c>
      <c r="H22" s="82">
        <f t="shared" si="4"/>
        <v>22608.098701215531</v>
      </c>
    </row>
    <row r="23" spans="2:8" ht="15.75" x14ac:dyDescent="0.25">
      <c r="B23" s="106">
        <f t="shared" si="5"/>
        <v>5.0273382137778055</v>
      </c>
      <c r="C23" s="83">
        <f>'PUNTO DE EQUILIBRIO'!E26</f>
        <v>21151.5</v>
      </c>
      <c r="D23" s="82">
        <f t="shared" si="0"/>
        <v>30080.871753038831</v>
      </c>
      <c r="E23" s="83">
        <f t="shared" si="1"/>
        <v>51232.371753038831</v>
      </c>
      <c r="F23" s="83">
        <f t="shared" si="2"/>
        <v>43300.559253038824</v>
      </c>
      <c r="G23" s="126">
        <f t="shared" si="3"/>
        <v>-7931.8125000000073</v>
      </c>
      <c r="H23" s="82">
        <f t="shared" si="4"/>
        <v>25616.185876519416</v>
      </c>
    </row>
    <row r="24" spans="2:8" ht="15.75" x14ac:dyDescent="0.25">
      <c r="B24" s="106">
        <f t="shared" si="5"/>
        <v>6.0328058565333667</v>
      </c>
      <c r="C24" s="83">
        <f>'PUNTO DE EQUILIBRIO'!E26</f>
        <v>21151.5</v>
      </c>
      <c r="D24" s="82">
        <f t="shared" si="0"/>
        <v>36097.0461036466</v>
      </c>
      <c r="E24" s="83">
        <f t="shared" si="1"/>
        <v>57248.5461036466</v>
      </c>
      <c r="F24" s="83">
        <f t="shared" si="2"/>
        <v>51960.671103646593</v>
      </c>
      <c r="G24" s="126">
        <f t="shared" si="3"/>
        <v>-5287.8750000000073</v>
      </c>
      <c r="H24" s="82">
        <f t="shared" si="4"/>
        <v>28624.2730518233</v>
      </c>
    </row>
    <row r="25" spans="2:8" ht="15.75" x14ac:dyDescent="0.25">
      <c r="B25" s="106">
        <f t="shared" si="5"/>
        <v>7.0382734992889278</v>
      </c>
      <c r="C25" s="83">
        <f>'PUNTO DE EQUILIBRIO'!E26</f>
        <v>21151.5</v>
      </c>
      <c r="D25" s="82">
        <f t="shared" si="0"/>
        <v>42113.22045425437</v>
      </c>
      <c r="E25" s="83">
        <f t="shared" si="1"/>
        <v>63264.72045425437</v>
      </c>
      <c r="F25" s="83">
        <f t="shared" si="2"/>
        <v>60620.782954254355</v>
      </c>
      <c r="G25" s="126">
        <f t="shared" si="3"/>
        <v>-2643.9375000000146</v>
      </c>
      <c r="H25" s="82">
        <f t="shared" si="4"/>
        <v>31632.360227127185</v>
      </c>
    </row>
    <row r="26" spans="2:8" ht="15.75" x14ac:dyDescent="0.25">
      <c r="B26" s="107">
        <f>'PUNTO DE EQUILIBRIO'!E29</f>
        <v>8.0437411420444889</v>
      </c>
      <c r="C26" s="108">
        <f>'PUNTO DE EQUILIBRIO'!E26</f>
        <v>21151.5</v>
      </c>
      <c r="D26" s="108">
        <f>'PUNTO DE EQUILIBRIO'!H21</f>
        <v>48129.394804862131</v>
      </c>
      <c r="E26" s="108">
        <f>C26+D26</f>
        <v>69280.894804862124</v>
      </c>
      <c r="F26" s="108">
        <f>'PUNTO DE EQUILIBRIO'!I21</f>
        <v>69280.894804862124</v>
      </c>
      <c r="G26" s="108">
        <f t="shared" si="3"/>
        <v>0</v>
      </c>
      <c r="H26" s="109">
        <f t="shared" si="4"/>
        <v>34640.447402431062</v>
      </c>
    </row>
    <row r="27" spans="2:8" ht="15.75" x14ac:dyDescent="0.25">
      <c r="B27" s="106">
        <f>($B$26/8)+B26</f>
        <v>9.0492087848000509</v>
      </c>
      <c r="C27" s="83">
        <f>'PUNTO DE EQUILIBRIO'!E26</f>
        <v>21151.5</v>
      </c>
      <c r="D27" s="83">
        <f>(B27*$D$26)/$B$26</f>
        <v>54145.569155469901</v>
      </c>
      <c r="E27" s="83">
        <f>C27+D27</f>
        <v>75297.069155469901</v>
      </c>
      <c r="F27" s="83">
        <f>(B27*$F$26)/$B$26</f>
        <v>77941.006655469901</v>
      </c>
      <c r="G27" s="127">
        <f t="shared" si="3"/>
        <v>2643.9375</v>
      </c>
      <c r="H27" s="82">
        <f t="shared" si="4"/>
        <v>37648.53457773495</v>
      </c>
    </row>
    <row r="28" spans="2:8" ht="15.75" x14ac:dyDescent="0.25">
      <c r="B28" s="106">
        <f t="shared" ref="B28:B30" si="6">($B$26/8)+B27</f>
        <v>10.054676427555613</v>
      </c>
      <c r="C28" s="83">
        <f>'PUNTO DE EQUILIBRIO'!E26</f>
        <v>21151.5</v>
      </c>
      <c r="D28" s="83">
        <f t="shared" ref="D28:D30" si="7">(B28*$D$26)/$B$26</f>
        <v>60161.743506077677</v>
      </c>
      <c r="E28" s="83">
        <f t="shared" ref="E28:E30" si="8">C28+D28</f>
        <v>81313.243506077677</v>
      </c>
      <c r="F28" s="83">
        <f t="shared" ref="F28:F30" si="9">(B28*$F$26)/$B$26</f>
        <v>86601.118506077662</v>
      </c>
      <c r="G28" s="127">
        <f t="shared" si="3"/>
        <v>5287.8749999999854</v>
      </c>
      <c r="H28" s="82">
        <f t="shared" si="4"/>
        <v>40656.621753038839</v>
      </c>
    </row>
    <row r="29" spans="2:8" ht="15.75" x14ac:dyDescent="0.25">
      <c r="B29" s="106">
        <f t="shared" si="6"/>
        <v>11.060144070311175</v>
      </c>
      <c r="C29" s="83">
        <f>'PUNTO DE EQUILIBRIO'!E26</f>
        <v>21151.5</v>
      </c>
      <c r="D29" s="83">
        <f t="shared" si="7"/>
        <v>66177.917856685439</v>
      </c>
      <c r="E29" s="83">
        <f t="shared" si="8"/>
        <v>87329.417856685439</v>
      </c>
      <c r="F29" s="83">
        <f t="shared" si="9"/>
        <v>95261.230356685453</v>
      </c>
      <c r="G29" s="127">
        <f t="shared" si="3"/>
        <v>7931.8125000000146</v>
      </c>
      <c r="H29" s="82">
        <f t="shared" si="4"/>
        <v>43664.708928342719</v>
      </c>
    </row>
    <row r="30" spans="2:8" ht="15.75" x14ac:dyDescent="0.25">
      <c r="B30" s="106">
        <f t="shared" si="6"/>
        <v>12.065611713066737</v>
      </c>
      <c r="C30" s="83">
        <f>'PUNTO DE EQUILIBRIO'!E26</f>
        <v>21151.5</v>
      </c>
      <c r="D30" s="83">
        <f t="shared" si="7"/>
        <v>72194.092207293215</v>
      </c>
      <c r="E30" s="83">
        <f t="shared" si="8"/>
        <v>93345.592207293215</v>
      </c>
      <c r="F30" s="83">
        <f t="shared" si="9"/>
        <v>103921.34220729322</v>
      </c>
      <c r="G30" s="127">
        <f t="shared" si="3"/>
        <v>10575.75</v>
      </c>
      <c r="H30" s="82">
        <f t="shared" si="4"/>
        <v>46672.796103646608</v>
      </c>
    </row>
    <row r="63" spans="2:2" x14ac:dyDescent="0.25">
      <c r="B63" t="s">
        <v>211</v>
      </c>
    </row>
  </sheetData>
  <mergeCells count="12">
    <mergeCell ref="E13:F13"/>
    <mergeCell ref="E14:F14"/>
    <mergeCell ref="B6:H6"/>
    <mergeCell ref="B10:D10"/>
    <mergeCell ref="B11:D11"/>
    <mergeCell ref="B12:D12"/>
    <mergeCell ref="B13:D13"/>
    <mergeCell ref="B14:D14"/>
    <mergeCell ref="B8:F8"/>
    <mergeCell ref="E10:F10"/>
    <mergeCell ref="E11:F11"/>
    <mergeCell ref="E12:F12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7"/>
  <sheetViews>
    <sheetView topLeftCell="A18" zoomScale="70" zoomScaleNormal="70" workbookViewId="0">
      <pane xSplit="1" topLeftCell="C1" activePane="topRight" state="frozen"/>
      <selection activeCell="A2" sqref="A2"/>
      <selection pane="topRight" activeCell="O36" sqref="O36"/>
    </sheetView>
  </sheetViews>
  <sheetFormatPr baseColWidth="10" defaultRowHeight="15" x14ac:dyDescent="0.25"/>
  <cols>
    <col min="1" max="1" width="42.5703125" customWidth="1"/>
    <col min="2" max="2" width="13.5703125" customWidth="1"/>
    <col min="3" max="4" width="15.85546875" customWidth="1"/>
    <col min="5" max="5" width="16.7109375" customWidth="1"/>
    <col min="6" max="7" width="16.85546875" customWidth="1"/>
    <col min="8" max="8" width="16.7109375" customWidth="1"/>
    <col min="9" max="9" width="17.5703125" customWidth="1"/>
    <col min="10" max="10" width="16.140625" customWidth="1"/>
    <col min="11" max="11" width="15.85546875" customWidth="1"/>
    <col min="12" max="12" width="16.42578125" customWidth="1"/>
    <col min="13" max="14" width="16.140625" customWidth="1"/>
    <col min="15" max="15" width="18.85546875" customWidth="1"/>
  </cols>
  <sheetData>
    <row r="6" spans="1:15" ht="18.75" x14ac:dyDescent="0.3">
      <c r="A6" s="233" t="s">
        <v>237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</row>
    <row r="8" spans="1:15" ht="15.75" thickBot="1" x14ac:dyDescent="0.3">
      <c r="A8" s="113" t="s">
        <v>238</v>
      </c>
      <c r="B8" s="113"/>
    </row>
    <row r="9" spans="1:15" x14ac:dyDescent="0.25">
      <c r="A9" s="117" t="s">
        <v>215</v>
      </c>
      <c r="B9" s="138" t="s">
        <v>240</v>
      </c>
      <c r="C9" s="118" t="s">
        <v>216</v>
      </c>
      <c r="D9" s="118" t="s">
        <v>217</v>
      </c>
      <c r="E9" s="118" t="s">
        <v>218</v>
      </c>
      <c r="F9" s="118" t="s">
        <v>219</v>
      </c>
      <c r="G9" s="118" t="s">
        <v>220</v>
      </c>
      <c r="H9" s="118" t="s">
        <v>221</v>
      </c>
      <c r="I9" s="118" t="s">
        <v>222</v>
      </c>
      <c r="J9" s="118" t="s">
        <v>223</v>
      </c>
      <c r="K9" s="118" t="s">
        <v>224</v>
      </c>
      <c r="L9" s="118" t="s">
        <v>225</v>
      </c>
      <c r="M9" s="118" t="s">
        <v>226</v>
      </c>
      <c r="N9" s="118" t="s">
        <v>227</v>
      </c>
      <c r="O9" s="119" t="s">
        <v>32</v>
      </c>
    </row>
    <row r="10" spans="1:15" x14ac:dyDescent="0.25">
      <c r="A10" s="120" t="s">
        <v>168</v>
      </c>
      <c r="B10" s="135">
        <f>'PUNTO DE EQUILIBRIO'!K10</f>
        <v>1.2713784812662792</v>
      </c>
      <c r="C10" s="129">
        <v>2</v>
      </c>
      <c r="D10" s="129">
        <v>2</v>
      </c>
      <c r="E10" s="129">
        <v>2</v>
      </c>
      <c r="F10" s="129">
        <v>3</v>
      </c>
      <c r="G10" s="129">
        <v>3</v>
      </c>
      <c r="H10" s="129">
        <v>3</v>
      </c>
      <c r="I10" s="129">
        <v>3</v>
      </c>
      <c r="J10" s="129">
        <v>3</v>
      </c>
      <c r="K10" s="129">
        <v>3</v>
      </c>
      <c r="L10" s="129">
        <v>3</v>
      </c>
      <c r="M10" s="129">
        <v>3</v>
      </c>
      <c r="N10" s="129">
        <v>3</v>
      </c>
      <c r="O10" s="129">
        <f t="shared" ref="O10:O20" si="0">SUM(C10:N10)</f>
        <v>33</v>
      </c>
    </row>
    <row r="11" spans="1:15" x14ac:dyDescent="0.25">
      <c r="A11" s="120" t="s">
        <v>126</v>
      </c>
      <c r="B11" s="135">
        <f>'PUNTO DE EQUILIBRIO'!K11</f>
        <v>1.1130025257840455</v>
      </c>
      <c r="C11" s="129">
        <v>2</v>
      </c>
      <c r="D11" s="129">
        <v>2</v>
      </c>
      <c r="E11" s="129">
        <v>2</v>
      </c>
      <c r="F11" s="129">
        <v>3</v>
      </c>
      <c r="G11" s="129">
        <v>4</v>
      </c>
      <c r="H11" s="129">
        <v>4</v>
      </c>
      <c r="I11" s="129">
        <v>4</v>
      </c>
      <c r="J11" s="129">
        <v>4</v>
      </c>
      <c r="K11" s="129">
        <v>4</v>
      </c>
      <c r="L11" s="129">
        <v>4</v>
      </c>
      <c r="M11" s="129">
        <v>4</v>
      </c>
      <c r="N11" s="129">
        <v>4</v>
      </c>
      <c r="O11" s="129">
        <f t="shared" si="0"/>
        <v>41</v>
      </c>
    </row>
    <row r="12" spans="1:15" ht="24.75" x14ac:dyDescent="0.25">
      <c r="A12" s="121" t="s">
        <v>169</v>
      </c>
      <c r="B12" s="135">
        <f>'PUNTO DE EQUILIBRIO'!K12</f>
        <v>0.86935881627620226</v>
      </c>
      <c r="C12" s="129">
        <v>1</v>
      </c>
      <c r="D12" s="129">
        <v>1</v>
      </c>
      <c r="E12" s="129">
        <v>1</v>
      </c>
      <c r="F12" s="129">
        <v>2</v>
      </c>
      <c r="G12" s="129">
        <v>3</v>
      </c>
      <c r="H12" s="129">
        <v>3</v>
      </c>
      <c r="I12" s="129">
        <v>3</v>
      </c>
      <c r="J12" s="129">
        <v>3</v>
      </c>
      <c r="K12" s="129">
        <v>3</v>
      </c>
      <c r="L12" s="129">
        <v>3</v>
      </c>
      <c r="M12" s="129">
        <v>3</v>
      </c>
      <c r="N12" s="129">
        <v>3</v>
      </c>
      <c r="O12" s="129">
        <f t="shared" si="0"/>
        <v>29</v>
      </c>
    </row>
    <row r="13" spans="1:15" ht="24.75" x14ac:dyDescent="0.25">
      <c r="A13" s="121" t="s">
        <v>170</v>
      </c>
      <c r="B13" s="135">
        <f>'PUNTO DE EQUILIBRIO'!K13</f>
        <v>1.2272410791993038</v>
      </c>
      <c r="C13" s="129">
        <v>2</v>
      </c>
      <c r="D13" s="129">
        <v>2</v>
      </c>
      <c r="E13" s="129">
        <v>2</v>
      </c>
      <c r="F13" s="129">
        <v>2</v>
      </c>
      <c r="G13" s="129">
        <v>3</v>
      </c>
      <c r="H13" s="129">
        <v>3</v>
      </c>
      <c r="I13" s="129">
        <v>3</v>
      </c>
      <c r="J13" s="129">
        <v>3</v>
      </c>
      <c r="K13" s="129">
        <v>3</v>
      </c>
      <c r="L13" s="129">
        <v>3</v>
      </c>
      <c r="M13" s="129">
        <v>3</v>
      </c>
      <c r="N13" s="129">
        <v>3</v>
      </c>
      <c r="O13" s="129">
        <f t="shared" si="0"/>
        <v>32</v>
      </c>
    </row>
    <row r="14" spans="1:15" ht="24.75" x14ac:dyDescent="0.25">
      <c r="A14" s="121" t="s">
        <v>173</v>
      </c>
      <c r="B14" s="135">
        <f>'PUNTO DE EQUILIBRIO'!K14</f>
        <v>1.3377256142057894</v>
      </c>
      <c r="C14" s="129">
        <v>1</v>
      </c>
      <c r="D14" s="129">
        <v>2</v>
      </c>
      <c r="E14" s="129">
        <v>2</v>
      </c>
      <c r="F14" s="129">
        <v>2</v>
      </c>
      <c r="G14" s="129">
        <v>2</v>
      </c>
      <c r="H14" s="129">
        <v>2</v>
      </c>
      <c r="I14" s="129">
        <v>2</v>
      </c>
      <c r="J14" s="129">
        <v>2</v>
      </c>
      <c r="K14" s="129">
        <v>2</v>
      </c>
      <c r="L14" s="129">
        <v>2</v>
      </c>
      <c r="M14" s="129">
        <v>2</v>
      </c>
      <c r="N14" s="129">
        <v>2</v>
      </c>
      <c r="O14" s="129">
        <f t="shared" si="0"/>
        <v>23</v>
      </c>
    </row>
    <row r="15" spans="1:15" ht="24.75" x14ac:dyDescent="0.25">
      <c r="A15" s="121" t="s">
        <v>174</v>
      </c>
      <c r="B15" s="135">
        <f>'PUNTO DE EQUILIBRIO'!K15</f>
        <v>0.87198708258897895</v>
      </c>
      <c r="C15" s="129">
        <v>1</v>
      </c>
      <c r="D15" s="129">
        <v>1</v>
      </c>
      <c r="E15" s="129">
        <v>1</v>
      </c>
      <c r="F15" s="129">
        <v>2</v>
      </c>
      <c r="G15" s="129">
        <v>2</v>
      </c>
      <c r="H15" s="129">
        <v>3</v>
      </c>
      <c r="I15" s="129">
        <v>3</v>
      </c>
      <c r="J15" s="129">
        <v>3</v>
      </c>
      <c r="K15" s="129">
        <v>3</v>
      </c>
      <c r="L15" s="129">
        <v>3</v>
      </c>
      <c r="M15" s="129">
        <v>3</v>
      </c>
      <c r="N15" s="129">
        <v>3</v>
      </c>
      <c r="O15" s="129">
        <f t="shared" si="0"/>
        <v>28</v>
      </c>
    </row>
    <row r="16" spans="1:15" ht="29.25" customHeight="1" x14ac:dyDescent="0.25">
      <c r="A16" s="121" t="s">
        <v>175</v>
      </c>
      <c r="B16" s="135">
        <f>'PUNTO DE EQUILIBRIO'!K16</f>
        <v>0.63220583839792766</v>
      </c>
      <c r="C16" s="129">
        <v>1</v>
      </c>
      <c r="D16" s="129">
        <v>1</v>
      </c>
      <c r="E16" s="129">
        <v>1</v>
      </c>
      <c r="F16" s="129">
        <v>2</v>
      </c>
      <c r="G16" s="129">
        <v>2</v>
      </c>
      <c r="H16" s="129">
        <v>2</v>
      </c>
      <c r="I16" s="129">
        <v>2</v>
      </c>
      <c r="J16" s="129">
        <v>2</v>
      </c>
      <c r="K16" s="129">
        <v>2</v>
      </c>
      <c r="L16" s="129">
        <v>2</v>
      </c>
      <c r="M16" s="129">
        <v>2</v>
      </c>
      <c r="N16" s="129">
        <v>2</v>
      </c>
      <c r="O16" s="129">
        <f t="shared" si="0"/>
        <v>21</v>
      </c>
    </row>
    <row r="17" spans="1:15" ht="27" customHeight="1" x14ac:dyDescent="0.25">
      <c r="A17" s="121" t="s">
        <v>171</v>
      </c>
      <c r="B17" s="135">
        <f>'PUNTO DE EQUILIBRIO'!K17</f>
        <v>0.23464731441249884</v>
      </c>
      <c r="C17" s="129">
        <v>0</v>
      </c>
      <c r="D17" s="129">
        <v>0</v>
      </c>
      <c r="E17" s="129">
        <v>1</v>
      </c>
      <c r="F17" s="129">
        <v>1</v>
      </c>
      <c r="G17" s="129">
        <v>1</v>
      </c>
      <c r="H17" s="129">
        <v>1</v>
      </c>
      <c r="I17" s="129">
        <v>1</v>
      </c>
      <c r="J17" s="129">
        <v>1</v>
      </c>
      <c r="K17" s="129">
        <v>1</v>
      </c>
      <c r="L17" s="129">
        <v>1</v>
      </c>
      <c r="M17" s="129">
        <v>1</v>
      </c>
      <c r="N17" s="129">
        <v>1</v>
      </c>
      <c r="O17" s="129">
        <f t="shared" si="0"/>
        <v>10</v>
      </c>
    </row>
    <row r="18" spans="1:15" ht="30" customHeight="1" x14ac:dyDescent="0.25">
      <c r="A18" s="121" t="s">
        <v>176</v>
      </c>
      <c r="B18" s="135">
        <f>'PUNTO DE EQUILIBRIO'!K18</f>
        <v>2.7227263950569611E-2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1</v>
      </c>
      <c r="I18" s="129">
        <v>1</v>
      </c>
      <c r="J18" s="129">
        <v>1</v>
      </c>
      <c r="K18" s="129">
        <v>1</v>
      </c>
      <c r="L18" s="129">
        <v>1</v>
      </c>
      <c r="M18" s="129">
        <v>1</v>
      </c>
      <c r="N18" s="129">
        <v>1</v>
      </c>
      <c r="O18" s="129">
        <f t="shared" si="0"/>
        <v>7</v>
      </c>
    </row>
    <row r="19" spans="1:15" ht="27.75" customHeight="1" x14ac:dyDescent="0.25">
      <c r="A19" s="121" t="s">
        <v>177</v>
      </c>
      <c r="B19" s="135">
        <f>'PUNTO DE EQUILIBRIO'!K19</f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1</v>
      </c>
      <c r="N19" s="129">
        <v>1</v>
      </c>
      <c r="O19" s="129">
        <f t="shared" si="0"/>
        <v>2</v>
      </c>
    </row>
    <row r="20" spans="1:15" ht="26.25" customHeight="1" thickBot="1" x14ac:dyDescent="0.3">
      <c r="A20" s="122" t="s">
        <v>178</v>
      </c>
      <c r="B20" s="135">
        <f>'PUNTO DE EQUILIBRIO'!K20</f>
        <v>0.45896712596289468</v>
      </c>
      <c r="C20" s="130">
        <v>1</v>
      </c>
      <c r="D20" s="130">
        <v>1</v>
      </c>
      <c r="E20" s="130">
        <v>2</v>
      </c>
      <c r="F20" s="130">
        <v>2</v>
      </c>
      <c r="G20" s="130">
        <v>2</v>
      </c>
      <c r="H20" s="130">
        <v>2</v>
      </c>
      <c r="I20" s="130">
        <v>3</v>
      </c>
      <c r="J20" s="130">
        <v>3</v>
      </c>
      <c r="K20" s="130">
        <v>3</v>
      </c>
      <c r="L20" s="130">
        <v>3</v>
      </c>
      <c r="M20" s="130">
        <v>3</v>
      </c>
      <c r="N20" s="130">
        <v>3</v>
      </c>
      <c r="O20" s="129">
        <f t="shared" si="0"/>
        <v>28</v>
      </c>
    </row>
    <row r="21" spans="1:15" ht="15.75" thickBot="1" x14ac:dyDescent="0.3">
      <c r="A21" s="131" t="s">
        <v>255</v>
      </c>
      <c r="B21" s="136">
        <f t="shared" ref="B21:O21" si="1">SUM(B10:B20)</f>
        <v>8.0437411420444889</v>
      </c>
      <c r="C21" s="132">
        <f t="shared" si="1"/>
        <v>11</v>
      </c>
      <c r="D21" s="132">
        <f t="shared" si="1"/>
        <v>12</v>
      </c>
      <c r="E21" s="132">
        <f t="shared" si="1"/>
        <v>14</v>
      </c>
      <c r="F21" s="132">
        <f t="shared" si="1"/>
        <v>19</v>
      </c>
      <c r="G21" s="132">
        <f t="shared" si="1"/>
        <v>22</v>
      </c>
      <c r="H21" s="132">
        <f t="shared" si="1"/>
        <v>24</v>
      </c>
      <c r="I21" s="132">
        <f t="shared" si="1"/>
        <v>25</v>
      </c>
      <c r="J21" s="132">
        <f t="shared" si="1"/>
        <v>25</v>
      </c>
      <c r="K21" s="132">
        <f t="shared" si="1"/>
        <v>25</v>
      </c>
      <c r="L21" s="132">
        <f t="shared" si="1"/>
        <v>25</v>
      </c>
      <c r="M21" s="132">
        <f t="shared" si="1"/>
        <v>26</v>
      </c>
      <c r="N21" s="132">
        <f t="shared" si="1"/>
        <v>26</v>
      </c>
      <c r="O21" s="133">
        <f t="shared" si="1"/>
        <v>254</v>
      </c>
    </row>
    <row r="23" spans="1:15" ht="15.75" thickBot="1" x14ac:dyDescent="0.3">
      <c r="A23" s="113" t="s">
        <v>239</v>
      </c>
      <c r="B23" s="113"/>
    </row>
    <row r="24" spans="1:15" x14ac:dyDescent="0.25">
      <c r="A24" s="117" t="s">
        <v>215</v>
      </c>
      <c r="B24" s="138" t="s">
        <v>241</v>
      </c>
      <c r="C24" s="118" t="s">
        <v>216</v>
      </c>
      <c r="D24" s="118" t="s">
        <v>217</v>
      </c>
      <c r="E24" s="118" t="s">
        <v>218</v>
      </c>
      <c r="F24" s="118" t="s">
        <v>219</v>
      </c>
      <c r="G24" s="118" t="s">
        <v>220</v>
      </c>
      <c r="H24" s="118" t="s">
        <v>221</v>
      </c>
      <c r="I24" s="118" t="s">
        <v>222</v>
      </c>
      <c r="J24" s="118" t="s">
        <v>223</v>
      </c>
      <c r="K24" s="118" t="s">
        <v>224</v>
      </c>
      <c r="L24" s="118" t="s">
        <v>225</v>
      </c>
      <c r="M24" s="118" t="s">
        <v>226</v>
      </c>
      <c r="N24" s="118" t="s">
        <v>227</v>
      </c>
      <c r="O24" s="119" t="s">
        <v>32</v>
      </c>
    </row>
    <row r="25" spans="1:15" x14ac:dyDescent="0.25">
      <c r="A25" s="120" t="s">
        <v>168</v>
      </c>
      <c r="B25" s="137">
        <f>'PUNTO DE EQUILIBRIO'!E10</f>
        <v>2500</v>
      </c>
      <c r="C25" s="139">
        <f>$B$25*C10</f>
        <v>5000</v>
      </c>
      <c r="D25" s="139">
        <f t="shared" ref="D25:N25" si="2">$B$25*D10</f>
        <v>5000</v>
      </c>
      <c r="E25" s="139">
        <f t="shared" si="2"/>
        <v>5000</v>
      </c>
      <c r="F25" s="139">
        <f t="shared" si="2"/>
        <v>7500</v>
      </c>
      <c r="G25" s="139">
        <f t="shared" si="2"/>
        <v>7500</v>
      </c>
      <c r="H25" s="139">
        <f t="shared" si="2"/>
        <v>7500</v>
      </c>
      <c r="I25" s="139">
        <f t="shared" si="2"/>
        <v>7500</v>
      </c>
      <c r="J25" s="139">
        <f t="shared" si="2"/>
        <v>7500</v>
      </c>
      <c r="K25" s="139">
        <f t="shared" si="2"/>
        <v>7500</v>
      </c>
      <c r="L25" s="139">
        <f t="shared" si="2"/>
        <v>7500</v>
      </c>
      <c r="M25" s="139">
        <f t="shared" si="2"/>
        <v>7500</v>
      </c>
      <c r="N25" s="139">
        <f t="shared" si="2"/>
        <v>7500</v>
      </c>
      <c r="O25" s="139">
        <f>SUM(C25:N25)</f>
        <v>82500</v>
      </c>
    </row>
    <row r="26" spans="1:15" x14ac:dyDescent="0.25">
      <c r="A26" s="120" t="s">
        <v>126</v>
      </c>
      <c r="B26" s="137">
        <f>'PUNTO DE EQUILIBRIO'!E11</f>
        <v>2400</v>
      </c>
      <c r="C26" s="139">
        <f>$B$26*C11</f>
        <v>4800</v>
      </c>
      <c r="D26" s="139">
        <f t="shared" ref="D26:N26" si="3">$B$26*D11</f>
        <v>4800</v>
      </c>
      <c r="E26" s="139">
        <f t="shared" si="3"/>
        <v>4800</v>
      </c>
      <c r="F26" s="139">
        <f t="shared" si="3"/>
        <v>7200</v>
      </c>
      <c r="G26" s="139">
        <f t="shared" si="3"/>
        <v>9600</v>
      </c>
      <c r="H26" s="139">
        <f t="shared" si="3"/>
        <v>9600</v>
      </c>
      <c r="I26" s="139">
        <f t="shared" si="3"/>
        <v>9600</v>
      </c>
      <c r="J26" s="139">
        <f t="shared" si="3"/>
        <v>9600</v>
      </c>
      <c r="K26" s="139">
        <f t="shared" si="3"/>
        <v>9600</v>
      </c>
      <c r="L26" s="139">
        <f t="shared" si="3"/>
        <v>9600</v>
      </c>
      <c r="M26" s="139">
        <f t="shared" si="3"/>
        <v>9600</v>
      </c>
      <c r="N26" s="139">
        <f t="shared" si="3"/>
        <v>9600</v>
      </c>
      <c r="O26" s="139">
        <f t="shared" ref="O26:O35" si="4">SUM(C26:N26)</f>
        <v>98400</v>
      </c>
    </row>
    <row r="27" spans="1:15" ht="24.75" x14ac:dyDescent="0.25">
      <c r="A27" s="121" t="s">
        <v>169</v>
      </c>
      <c r="B27" s="137">
        <f>'PUNTO DE EQUILIBRIO'!E12</f>
        <v>5000</v>
      </c>
      <c r="C27" s="139">
        <f>$B$27*C12</f>
        <v>5000</v>
      </c>
      <c r="D27" s="139">
        <f t="shared" ref="D27:N27" si="5">$B$27*D12</f>
        <v>5000</v>
      </c>
      <c r="E27" s="139">
        <f t="shared" si="5"/>
        <v>5000</v>
      </c>
      <c r="F27" s="139">
        <f t="shared" si="5"/>
        <v>10000</v>
      </c>
      <c r="G27" s="139">
        <f t="shared" si="5"/>
        <v>15000</v>
      </c>
      <c r="H27" s="139">
        <f t="shared" si="5"/>
        <v>15000</v>
      </c>
      <c r="I27" s="139">
        <f t="shared" si="5"/>
        <v>15000</v>
      </c>
      <c r="J27" s="139">
        <f t="shared" si="5"/>
        <v>15000</v>
      </c>
      <c r="K27" s="139">
        <f t="shared" si="5"/>
        <v>15000</v>
      </c>
      <c r="L27" s="139">
        <f t="shared" si="5"/>
        <v>15000</v>
      </c>
      <c r="M27" s="139">
        <f t="shared" si="5"/>
        <v>15000</v>
      </c>
      <c r="N27" s="139">
        <f t="shared" si="5"/>
        <v>15000</v>
      </c>
      <c r="O27" s="139">
        <f t="shared" si="4"/>
        <v>145000</v>
      </c>
    </row>
    <row r="28" spans="1:15" ht="24.75" x14ac:dyDescent="0.25">
      <c r="A28" s="121" t="s">
        <v>170</v>
      </c>
      <c r="B28" s="137">
        <f>'PUNTO DE EQUILIBRIO'!E13</f>
        <v>5100</v>
      </c>
      <c r="C28" s="139">
        <f>$B$28*C13</f>
        <v>10200</v>
      </c>
      <c r="D28" s="139">
        <f t="shared" ref="D28:N28" si="6">$B$28*D13</f>
        <v>10200</v>
      </c>
      <c r="E28" s="139">
        <f t="shared" si="6"/>
        <v>10200</v>
      </c>
      <c r="F28" s="139">
        <f t="shared" si="6"/>
        <v>10200</v>
      </c>
      <c r="G28" s="139">
        <f t="shared" si="6"/>
        <v>15300</v>
      </c>
      <c r="H28" s="139">
        <f t="shared" si="6"/>
        <v>15300</v>
      </c>
      <c r="I28" s="139">
        <f t="shared" si="6"/>
        <v>15300</v>
      </c>
      <c r="J28" s="139">
        <f t="shared" si="6"/>
        <v>15300</v>
      </c>
      <c r="K28" s="139">
        <f t="shared" si="6"/>
        <v>15300</v>
      </c>
      <c r="L28" s="139">
        <f t="shared" si="6"/>
        <v>15300</v>
      </c>
      <c r="M28" s="139">
        <f t="shared" si="6"/>
        <v>15300</v>
      </c>
      <c r="N28" s="139">
        <f t="shared" si="6"/>
        <v>15300</v>
      </c>
      <c r="O28" s="139">
        <f t="shared" si="4"/>
        <v>163200</v>
      </c>
    </row>
    <row r="29" spans="1:15" ht="24.75" x14ac:dyDescent="0.25">
      <c r="A29" s="121" t="s">
        <v>173</v>
      </c>
      <c r="B29" s="137">
        <f>'PUNTO DE EQUILIBRIO'!E14</f>
        <v>7500</v>
      </c>
      <c r="C29" s="139">
        <f>$B$29*C14</f>
        <v>7500</v>
      </c>
      <c r="D29" s="139">
        <f t="shared" ref="D29:N29" si="7">$B$29*D14</f>
        <v>15000</v>
      </c>
      <c r="E29" s="139">
        <f t="shared" si="7"/>
        <v>15000</v>
      </c>
      <c r="F29" s="139">
        <f t="shared" si="7"/>
        <v>15000</v>
      </c>
      <c r="G29" s="139">
        <f t="shared" si="7"/>
        <v>15000</v>
      </c>
      <c r="H29" s="139">
        <f t="shared" si="7"/>
        <v>15000</v>
      </c>
      <c r="I29" s="139">
        <f t="shared" si="7"/>
        <v>15000</v>
      </c>
      <c r="J29" s="139">
        <f t="shared" si="7"/>
        <v>15000</v>
      </c>
      <c r="K29" s="139">
        <f t="shared" si="7"/>
        <v>15000</v>
      </c>
      <c r="L29" s="139">
        <f t="shared" si="7"/>
        <v>15000</v>
      </c>
      <c r="M29" s="139">
        <f t="shared" si="7"/>
        <v>15000</v>
      </c>
      <c r="N29" s="139">
        <f t="shared" si="7"/>
        <v>15000</v>
      </c>
      <c r="O29" s="139">
        <f t="shared" si="4"/>
        <v>172500</v>
      </c>
    </row>
    <row r="30" spans="1:15" ht="24.75" x14ac:dyDescent="0.25">
      <c r="A30" s="121" t="s">
        <v>174</v>
      </c>
      <c r="B30" s="137">
        <f>'PUNTO DE EQUILIBRIO'!E15</f>
        <v>12000</v>
      </c>
      <c r="C30" s="139">
        <f>$B$30*C15</f>
        <v>12000</v>
      </c>
      <c r="D30" s="139">
        <f t="shared" ref="D30:N30" si="8">$B$30*D15</f>
        <v>12000</v>
      </c>
      <c r="E30" s="139">
        <f t="shared" si="8"/>
        <v>12000</v>
      </c>
      <c r="F30" s="139">
        <f t="shared" si="8"/>
        <v>24000</v>
      </c>
      <c r="G30" s="139">
        <f t="shared" si="8"/>
        <v>24000</v>
      </c>
      <c r="H30" s="139">
        <f t="shared" si="8"/>
        <v>36000</v>
      </c>
      <c r="I30" s="139">
        <f t="shared" si="8"/>
        <v>36000</v>
      </c>
      <c r="J30" s="139">
        <f t="shared" si="8"/>
        <v>36000</v>
      </c>
      <c r="K30" s="139">
        <f t="shared" si="8"/>
        <v>36000</v>
      </c>
      <c r="L30" s="139">
        <f t="shared" si="8"/>
        <v>36000</v>
      </c>
      <c r="M30" s="139">
        <f t="shared" si="8"/>
        <v>36000</v>
      </c>
      <c r="N30" s="139">
        <f t="shared" si="8"/>
        <v>36000</v>
      </c>
      <c r="O30" s="139">
        <f t="shared" si="4"/>
        <v>336000</v>
      </c>
    </row>
    <row r="31" spans="1:15" ht="36.75" x14ac:dyDescent="0.25">
      <c r="A31" s="121" t="s">
        <v>175</v>
      </c>
      <c r="B31" s="137">
        <f>'PUNTO DE EQUILIBRIO'!E16</f>
        <v>22000</v>
      </c>
      <c r="C31" s="139">
        <f>$B$31*C16</f>
        <v>22000</v>
      </c>
      <c r="D31" s="139">
        <f t="shared" ref="D31:N31" si="9">$B$31*D16</f>
        <v>22000</v>
      </c>
      <c r="E31" s="139">
        <f t="shared" si="9"/>
        <v>22000</v>
      </c>
      <c r="F31" s="139">
        <f t="shared" si="9"/>
        <v>44000</v>
      </c>
      <c r="G31" s="139">
        <f t="shared" si="9"/>
        <v>44000</v>
      </c>
      <c r="H31" s="139">
        <f t="shared" si="9"/>
        <v>44000</v>
      </c>
      <c r="I31" s="139">
        <f t="shared" si="9"/>
        <v>44000</v>
      </c>
      <c r="J31" s="139">
        <f t="shared" si="9"/>
        <v>44000</v>
      </c>
      <c r="K31" s="139">
        <f t="shared" si="9"/>
        <v>44000</v>
      </c>
      <c r="L31" s="139">
        <f t="shared" si="9"/>
        <v>44000</v>
      </c>
      <c r="M31" s="139">
        <f t="shared" si="9"/>
        <v>44000</v>
      </c>
      <c r="N31" s="139">
        <f t="shared" si="9"/>
        <v>44000</v>
      </c>
      <c r="O31" s="139">
        <f t="shared" si="4"/>
        <v>462000</v>
      </c>
    </row>
    <row r="32" spans="1:15" ht="36.75" x14ac:dyDescent="0.25">
      <c r="A32" s="121" t="s">
        <v>171</v>
      </c>
      <c r="B32" s="137">
        <f>'PUNTO DE EQUILIBRIO'!E17</f>
        <v>33000</v>
      </c>
      <c r="C32" s="139">
        <f>$B$32*C17</f>
        <v>0</v>
      </c>
      <c r="D32" s="139">
        <f t="shared" ref="D32:N32" si="10">$B$32*D17</f>
        <v>0</v>
      </c>
      <c r="E32" s="139">
        <f t="shared" si="10"/>
        <v>33000</v>
      </c>
      <c r="F32" s="139">
        <f t="shared" si="10"/>
        <v>33000</v>
      </c>
      <c r="G32" s="139">
        <f t="shared" si="10"/>
        <v>33000</v>
      </c>
      <c r="H32" s="139">
        <f t="shared" si="10"/>
        <v>33000</v>
      </c>
      <c r="I32" s="139">
        <f t="shared" si="10"/>
        <v>33000</v>
      </c>
      <c r="J32" s="139">
        <f t="shared" si="10"/>
        <v>33000</v>
      </c>
      <c r="K32" s="139">
        <f t="shared" si="10"/>
        <v>33000</v>
      </c>
      <c r="L32" s="139">
        <f t="shared" si="10"/>
        <v>33000</v>
      </c>
      <c r="M32" s="139">
        <f t="shared" si="10"/>
        <v>33000</v>
      </c>
      <c r="N32" s="139">
        <f t="shared" si="10"/>
        <v>33000</v>
      </c>
      <c r="O32" s="139">
        <f t="shared" si="4"/>
        <v>330000</v>
      </c>
    </row>
    <row r="33" spans="1:15" ht="36.75" x14ac:dyDescent="0.25">
      <c r="A33" s="121" t="s">
        <v>176</v>
      </c>
      <c r="B33" s="137">
        <f>'PUNTO DE EQUILIBRIO'!E18</f>
        <v>55000</v>
      </c>
      <c r="C33" s="139">
        <f>$B$33*C18</f>
        <v>0</v>
      </c>
      <c r="D33" s="139">
        <f t="shared" ref="D33:N33" si="11">$B$33*D18</f>
        <v>0</v>
      </c>
      <c r="E33" s="139">
        <f t="shared" si="11"/>
        <v>0</v>
      </c>
      <c r="F33" s="139">
        <f t="shared" si="11"/>
        <v>0</v>
      </c>
      <c r="G33" s="139">
        <f t="shared" si="11"/>
        <v>0</v>
      </c>
      <c r="H33" s="139">
        <f t="shared" si="11"/>
        <v>55000</v>
      </c>
      <c r="I33" s="139">
        <f t="shared" si="11"/>
        <v>55000</v>
      </c>
      <c r="J33" s="139">
        <f t="shared" si="11"/>
        <v>55000</v>
      </c>
      <c r="K33" s="139">
        <f t="shared" si="11"/>
        <v>55000</v>
      </c>
      <c r="L33" s="139">
        <f t="shared" si="11"/>
        <v>55000</v>
      </c>
      <c r="M33" s="139">
        <f t="shared" si="11"/>
        <v>55000</v>
      </c>
      <c r="N33" s="139">
        <f t="shared" si="11"/>
        <v>55000</v>
      </c>
      <c r="O33" s="139">
        <f t="shared" si="4"/>
        <v>385000</v>
      </c>
    </row>
    <row r="34" spans="1:15" ht="36.75" x14ac:dyDescent="0.25">
      <c r="A34" s="121" t="s">
        <v>177</v>
      </c>
      <c r="B34" s="137">
        <f>'PUNTO DE EQUILIBRIO'!E19</f>
        <v>70000</v>
      </c>
      <c r="C34" s="139">
        <f>$B$34*C19</f>
        <v>0</v>
      </c>
      <c r="D34" s="139">
        <f t="shared" ref="D34:N34" si="12">$B$34*D19</f>
        <v>0</v>
      </c>
      <c r="E34" s="139">
        <f t="shared" si="12"/>
        <v>0</v>
      </c>
      <c r="F34" s="139">
        <f t="shared" si="12"/>
        <v>0</v>
      </c>
      <c r="G34" s="139">
        <f t="shared" si="12"/>
        <v>0</v>
      </c>
      <c r="H34" s="139">
        <f t="shared" si="12"/>
        <v>0</v>
      </c>
      <c r="I34" s="139">
        <f t="shared" si="12"/>
        <v>0</v>
      </c>
      <c r="J34" s="139">
        <f t="shared" si="12"/>
        <v>0</v>
      </c>
      <c r="K34" s="139">
        <f t="shared" si="12"/>
        <v>0</v>
      </c>
      <c r="L34" s="139">
        <f t="shared" si="12"/>
        <v>0</v>
      </c>
      <c r="M34" s="139">
        <f t="shared" si="12"/>
        <v>70000</v>
      </c>
      <c r="N34" s="139">
        <f t="shared" si="12"/>
        <v>70000</v>
      </c>
      <c r="O34" s="139">
        <f t="shared" si="4"/>
        <v>140000</v>
      </c>
    </row>
    <row r="35" spans="1:15" ht="25.5" thickBot="1" x14ac:dyDescent="0.3">
      <c r="A35" s="122" t="s">
        <v>178</v>
      </c>
      <c r="B35" s="137">
        <f>'PUNTO DE EQUILIBRIO'!E20</f>
        <v>20000</v>
      </c>
      <c r="C35" s="139">
        <f>$B$35*C20</f>
        <v>20000</v>
      </c>
      <c r="D35" s="139">
        <f t="shared" ref="D35:N35" si="13">$B$35*D20</f>
        <v>20000</v>
      </c>
      <c r="E35" s="139">
        <f t="shared" si="13"/>
        <v>40000</v>
      </c>
      <c r="F35" s="139">
        <f t="shared" si="13"/>
        <v>40000</v>
      </c>
      <c r="G35" s="139">
        <f t="shared" si="13"/>
        <v>40000</v>
      </c>
      <c r="H35" s="139">
        <f t="shared" si="13"/>
        <v>40000</v>
      </c>
      <c r="I35" s="139">
        <f t="shared" si="13"/>
        <v>60000</v>
      </c>
      <c r="J35" s="139">
        <f t="shared" si="13"/>
        <v>60000</v>
      </c>
      <c r="K35" s="139">
        <f t="shared" si="13"/>
        <v>60000</v>
      </c>
      <c r="L35" s="139">
        <f t="shared" si="13"/>
        <v>60000</v>
      </c>
      <c r="M35" s="139">
        <f t="shared" si="13"/>
        <v>60000</v>
      </c>
      <c r="N35" s="139">
        <f t="shared" si="13"/>
        <v>60000</v>
      </c>
      <c r="O35" s="139">
        <f t="shared" si="4"/>
        <v>560000</v>
      </c>
    </row>
    <row r="36" spans="1:15" ht="15.75" thickBot="1" x14ac:dyDescent="0.3">
      <c r="A36" s="131" t="s">
        <v>256</v>
      </c>
      <c r="B36" s="134"/>
      <c r="C36" s="227">
        <f t="shared" ref="C36:N36" si="14">SUM(C25:C35)</f>
        <v>86500</v>
      </c>
      <c r="D36" s="228">
        <f t="shared" si="14"/>
        <v>94000</v>
      </c>
      <c r="E36" s="228">
        <f t="shared" si="14"/>
        <v>147000</v>
      </c>
      <c r="F36" s="228">
        <f t="shared" si="14"/>
        <v>190900</v>
      </c>
      <c r="G36" s="228">
        <f t="shared" si="14"/>
        <v>203400</v>
      </c>
      <c r="H36" s="228">
        <f t="shared" si="14"/>
        <v>270400</v>
      </c>
      <c r="I36" s="228">
        <f t="shared" si="14"/>
        <v>290400</v>
      </c>
      <c r="J36" s="228">
        <f t="shared" si="14"/>
        <v>290400</v>
      </c>
      <c r="K36" s="228">
        <f t="shared" si="14"/>
        <v>290400</v>
      </c>
      <c r="L36" s="228">
        <f t="shared" si="14"/>
        <v>290400</v>
      </c>
      <c r="M36" s="228">
        <f t="shared" si="14"/>
        <v>360400</v>
      </c>
      <c r="N36" s="228">
        <f t="shared" si="14"/>
        <v>360400</v>
      </c>
      <c r="O36" s="229">
        <f t="shared" ref="O36" si="15">SUM(O25:O35)</f>
        <v>2874600</v>
      </c>
    </row>
    <row r="37" spans="1:15" x14ac:dyDescent="0.25">
      <c r="A37" s="220" t="s">
        <v>326</v>
      </c>
    </row>
  </sheetData>
  <mergeCells count="1">
    <mergeCell ref="A6:O6"/>
  </mergeCells>
  <pageMargins left="0.70866141732283472" right="0.70866141732283472" top="0.74803149606299213" bottom="0.74803149606299213" header="0.31496062992125984" footer="0.31496062992125984"/>
  <pageSetup scale="50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Q48"/>
  <sheetViews>
    <sheetView topLeftCell="A25" zoomScale="90" zoomScaleNormal="90" workbookViewId="0">
      <pane xSplit="1" topLeftCell="B1" activePane="topRight" state="frozen"/>
      <selection activeCell="A23" sqref="A23"/>
      <selection pane="topRight" activeCell="B39" sqref="B39"/>
    </sheetView>
  </sheetViews>
  <sheetFormatPr baseColWidth="10" defaultRowHeight="15" x14ac:dyDescent="0.25"/>
  <cols>
    <col min="1" max="1" width="42.85546875" customWidth="1"/>
    <col min="2" max="2" width="19.42578125" customWidth="1"/>
    <col min="3" max="3" width="19.7109375" customWidth="1"/>
    <col min="4" max="4" width="14.7109375" customWidth="1"/>
    <col min="5" max="5" width="15.5703125" customWidth="1"/>
    <col min="6" max="6" width="14.5703125" customWidth="1"/>
    <col min="7" max="7" width="15.7109375" customWidth="1"/>
    <col min="8" max="8" width="15.42578125" customWidth="1"/>
    <col min="9" max="9" width="16" customWidth="1"/>
    <col min="10" max="10" width="15.7109375" customWidth="1"/>
    <col min="11" max="11" width="16.7109375" customWidth="1"/>
    <col min="12" max="12" width="16.42578125" customWidth="1"/>
    <col min="13" max="13" width="16.28515625" customWidth="1"/>
    <col min="14" max="14" width="17.28515625" customWidth="1"/>
    <col min="15" max="15" width="16" customWidth="1"/>
    <col min="16" max="16" width="15.140625" customWidth="1"/>
    <col min="17" max="17" width="16.85546875" customWidth="1"/>
  </cols>
  <sheetData>
    <row r="6" spans="1:15" ht="21" x14ac:dyDescent="0.35">
      <c r="A6" s="299" t="s">
        <v>254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8" spans="1:15" ht="15.75" thickBot="1" x14ac:dyDescent="0.3">
      <c r="A8" s="113" t="s">
        <v>257</v>
      </c>
      <c r="B8" s="113"/>
    </row>
    <row r="9" spans="1:15" x14ac:dyDescent="0.25">
      <c r="A9" s="117" t="s">
        <v>215</v>
      </c>
      <c r="B9" s="138" t="s">
        <v>259</v>
      </c>
      <c r="C9" s="118" t="s">
        <v>216</v>
      </c>
      <c r="D9" s="118" t="s">
        <v>217</v>
      </c>
      <c r="E9" s="118" t="s">
        <v>218</v>
      </c>
      <c r="F9" s="118" t="s">
        <v>219</v>
      </c>
      <c r="G9" s="118" t="s">
        <v>220</v>
      </c>
      <c r="H9" s="118" t="s">
        <v>221</v>
      </c>
      <c r="I9" s="118" t="s">
        <v>222</v>
      </c>
      <c r="J9" s="118" t="s">
        <v>223</v>
      </c>
      <c r="K9" s="118" t="s">
        <v>224</v>
      </c>
      <c r="L9" s="118" t="s">
        <v>225</v>
      </c>
      <c r="M9" s="118" t="s">
        <v>226</v>
      </c>
      <c r="N9" s="118" t="s">
        <v>227</v>
      </c>
      <c r="O9" s="119" t="s">
        <v>32</v>
      </c>
    </row>
    <row r="10" spans="1:15" x14ac:dyDescent="0.25">
      <c r="A10" s="120" t="s">
        <v>168</v>
      </c>
      <c r="B10" s="135">
        <f>'PROYECCIÓN DE VENTAS'!B10</f>
        <v>1.2713784812662792</v>
      </c>
      <c r="C10" s="129">
        <f>'PROYECCIÓN DE VENTAS'!C10</f>
        <v>2</v>
      </c>
      <c r="D10" s="129">
        <f>'PROYECCIÓN DE VENTAS'!D10</f>
        <v>2</v>
      </c>
      <c r="E10" s="129">
        <f>'PROYECCIÓN DE VENTAS'!E10</f>
        <v>2</v>
      </c>
      <c r="F10" s="129">
        <f>'PROYECCIÓN DE VENTAS'!F10</f>
        <v>3</v>
      </c>
      <c r="G10" s="129">
        <f>'PROYECCIÓN DE VENTAS'!G10</f>
        <v>3</v>
      </c>
      <c r="H10" s="129">
        <f>'PROYECCIÓN DE VENTAS'!H10</f>
        <v>3</v>
      </c>
      <c r="I10" s="129">
        <f>'PROYECCIÓN DE VENTAS'!I10</f>
        <v>3</v>
      </c>
      <c r="J10" s="129">
        <f>'PROYECCIÓN DE VENTAS'!J10</f>
        <v>3</v>
      </c>
      <c r="K10" s="129">
        <f>'PROYECCIÓN DE VENTAS'!K10</f>
        <v>3</v>
      </c>
      <c r="L10" s="129">
        <f>'PROYECCIÓN DE VENTAS'!L10</f>
        <v>3</v>
      </c>
      <c r="M10" s="129">
        <f>'PROYECCIÓN DE VENTAS'!M10</f>
        <v>3</v>
      </c>
      <c r="N10" s="129">
        <f>'PROYECCIÓN DE VENTAS'!N10</f>
        <v>3</v>
      </c>
      <c r="O10" s="129">
        <f t="shared" ref="O10:O20" si="0">SUM(C10:N10)</f>
        <v>33</v>
      </c>
    </row>
    <row r="11" spans="1:15" x14ac:dyDescent="0.25">
      <c r="A11" s="120" t="s">
        <v>126</v>
      </c>
      <c r="B11" s="135">
        <f>'PROYECCIÓN DE VENTAS'!B11</f>
        <v>1.1130025257840455</v>
      </c>
      <c r="C11" s="129">
        <f>'PROYECCIÓN DE VENTAS'!C11</f>
        <v>2</v>
      </c>
      <c r="D11" s="129">
        <f>'PROYECCIÓN DE VENTAS'!D11</f>
        <v>2</v>
      </c>
      <c r="E11" s="129">
        <f>'PROYECCIÓN DE VENTAS'!E11</f>
        <v>2</v>
      </c>
      <c r="F11" s="129">
        <f>'PROYECCIÓN DE VENTAS'!F11</f>
        <v>3</v>
      </c>
      <c r="G11" s="129">
        <f>'PROYECCIÓN DE VENTAS'!G11</f>
        <v>4</v>
      </c>
      <c r="H11" s="129">
        <f>'PROYECCIÓN DE VENTAS'!H11</f>
        <v>4</v>
      </c>
      <c r="I11" s="129">
        <f>'PROYECCIÓN DE VENTAS'!I11</f>
        <v>4</v>
      </c>
      <c r="J11" s="129">
        <f>'PROYECCIÓN DE VENTAS'!J11</f>
        <v>4</v>
      </c>
      <c r="K11" s="129">
        <f>'PROYECCIÓN DE VENTAS'!K11</f>
        <v>4</v>
      </c>
      <c r="L11" s="129">
        <f>'PROYECCIÓN DE VENTAS'!L11</f>
        <v>4</v>
      </c>
      <c r="M11" s="129">
        <f>'PROYECCIÓN DE VENTAS'!M11</f>
        <v>4</v>
      </c>
      <c r="N11" s="129">
        <f>'PROYECCIÓN DE VENTAS'!N11</f>
        <v>4</v>
      </c>
      <c r="O11" s="129">
        <f t="shared" si="0"/>
        <v>41</v>
      </c>
    </row>
    <row r="12" spans="1:15" ht="24.75" x14ac:dyDescent="0.25">
      <c r="A12" s="121" t="s">
        <v>169</v>
      </c>
      <c r="B12" s="135">
        <f>'PROYECCIÓN DE VENTAS'!B12</f>
        <v>0.86935881627620226</v>
      </c>
      <c r="C12" s="129">
        <f>'PROYECCIÓN DE VENTAS'!C12</f>
        <v>1</v>
      </c>
      <c r="D12" s="129">
        <f>'PROYECCIÓN DE VENTAS'!D12</f>
        <v>1</v>
      </c>
      <c r="E12" s="129">
        <f>'PROYECCIÓN DE VENTAS'!E12</f>
        <v>1</v>
      </c>
      <c r="F12" s="129">
        <f>'PROYECCIÓN DE VENTAS'!F12</f>
        <v>2</v>
      </c>
      <c r="G12" s="129">
        <f>'PROYECCIÓN DE VENTAS'!G12</f>
        <v>3</v>
      </c>
      <c r="H12" s="129">
        <f>'PROYECCIÓN DE VENTAS'!H12</f>
        <v>3</v>
      </c>
      <c r="I12" s="129">
        <f>'PROYECCIÓN DE VENTAS'!I12</f>
        <v>3</v>
      </c>
      <c r="J12" s="129">
        <f>'PROYECCIÓN DE VENTAS'!J12</f>
        <v>3</v>
      </c>
      <c r="K12" s="129">
        <f>'PROYECCIÓN DE VENTAS'!K12</f>
        <v>3</v>
      </c>
      <c r="L12" s="129">
        <f>'PROYECCIÓN DE VENTAS'!L12</f>
        <v>3</v>
      </c>
      <c r="M12" s="129">
        <f>'PROYECCIÓN DE VENTAS'!M12</f>
        <v>3</v>
      </c>
      <c r="N12" s="129">
        <f>'PROYECCIÓN DE VENTAS'!N12</f>
        <v>3</v>
      </c>
      <c r="O12" s="129">
        <f t="shared" si="0"/>
        <v>29</v>
      </c>
    </row>
    <row r="13" spans="1:15" ht="24.75" x14ac:dyDescent="0.25">
      <c r="A13" s="121" t="s">
        <v>170</v>
      </c>
      <c r="B13" s="135">
        <f>'PROYECCIÓN DE VENTAS'!B13</f>
        <v>1.2272410791993038</v>
      </c>
      <c r="C13" s="129">
        <f>'PROYECCIÓN DE VENTAS'!C13</f>
        <v>2</v>
      </c>
      <c r="D13" s="129">
        <f>'PROYECCIÓN DE VENTAS'!D13</f>
        <v>2</v>
      </c>
      <c r="E13" s="129">
        <f>'PROYECCIÓN DE VENTAS'!E13</f>
        <v>2</v>
      </c>
      <c r="F13" s="129">
        <f>'PROYECCIÓN DE VENTAS'!F13</f>
        <v>2</v>
      </c>
      <c r="G13" s="129">
        <f>'PROYECCIÓN DE VENTAS'!G13</f>
        <v>3</v>
      </c>
      <c r="H13" s="129">
        <f>'PROYECCIÓN DE VENTAS'!H13</f>
        <v>3</v>
      </c>
      <c r="I13" s="129">
        <f>'PROYECCIÓN DE VENTAS'!I13</f>
        <v>3</v>
      </c>
      <c r="J13" s="129">
        <f>'PROYECCIÓN DE VENTAS'!J13</f>
        <v>3</v>
      </c>
      <c r="K13" s="129">
        <f>'PROYECCIÓN DE VENTAS'!K13</f>
        <v>3</v>
      </c>
      <c r="L13" s="129">
        <f>'PROYECCIÓN DE VENTAS'!L13</f>
        <v>3</v>
      </c>
      <c r="M13" s="129">
        <f>'PROYECCIÓN DE VENTAS'!M13</f>
        <v>3</v>
      </c>
      <c r="N13" s="129">
        <f>'PROYECCIÓN DE VENTAS'!N13</f>
        <v>3</v>
      </c>
      <c r="O13" s="129">
        <f t="shared" si="0"/>
        <v>32</v>
      </c>
    </row>
    <row r="14" spans="1:15" ht="24.75" x14ac:dyDescent="0.25">
      <c r="A14" s="121" t="s">
        <v>173</v>
      </c>
      <c r="B14" s="135">
        <f>'PROYECCIÓN DE VENTAS'!B14</f>
        <v>1.3377256142057894</v>
      </c>
      <c r="C14" s="129">
        <f>'PROYECCIÓN DE VENTAS'!C14</f>
        <v>1</v>
      </c>
      <c r="D14" s="129">
        <f>'PROYECCIÓN DE VENTAS'!D14</f>
        <v>2</v>
      </c>
      <c r="E14" s="129">
        <f>'PROYECCIÓN DE VENTAS'!E14</f>
        <v>2</v>
      </c>
      <c r="F14" s="129">
        <f>'PROYECCIÓN DE VENTAS'!F14</f>
        <v>2</v>
      </c>
      <c r="G14" s="129">
        <f>'PROYECCIÓN DE VENTAS'!G14</f>
        <v>2</v>
      </c>
      <c r="H14" s="129">
        <f>'PROYECCIÓN DE VENTAS'!H14</f>
        <v>2</v>
      </c>
      <c r="I14" s="129">
        <f>'PROYECCIÓN DE VENTAS'!I14</f>
        <v>2</v>
      </c>
      <c r="J14" s="129">
        <f>'PROYECCIÓN DE VENTAS'!J14</f>
        <v>2</v>
      </c>
      <c r="K14" s="129">
        <f>'PROYECCIÓN DE VENTAS'!K14</f>
        <v>2</v>
      </c>
      <c r="L14" s="129">
        <f>'PROYECCIÓN DE VENTAS'!L14</f>
        <v>2</v>
      </c>
      <c r="M14" s="129">
        <f>'PROYECCIÓN DE VENTAS'!M14</f>
        <v>2</v>
      </c>
      <c r="N14" s="129">
        <f>'PROYECCIÓN DE VENTAS'!N14</f>
        <v>2</v>
      </c>
      <c r="O14" s="129">
        <f t="shared" si="0"/>
        <v>23</v>
      </c>
    </row>
    <row r="15" spans="1:15" ht="24.75" x14ac:dyDescent="0.25">
      <c r="A15" s="121" t="s">
        <v>174</v>
      </c>
      <c r="B15" s="135">
        <f>'PROYECCIÓN DE VENTAS'!B15</f>
        <v>0.87198708258897895</v>
      </c>
      <c r="C15" s="129">
        <f>'PROYECCIÓN DE VENTAS'!C15</f>
        <v>1</v>
      </c>
      <c r="D15" s="129">
        <f>'PROYECCIÓN DE VENTAS'!D15</f>
        <v>1</v>
      </c>
      <c r="E15" s="129">
        <f>'PROYECCIÓN DE VENTAS'!E15</f>
        <v>1</v>
      </c>
      <c r="F15" s="129">
        <f>'PROYECCIÓN DE VENTAS'!F15</f>
        <v>2</v>
      </c>
      <c r="G15" s="129">
        <f>'PROYECCIÓN DE VENTAS'!G15</f>
        <v>2</v>
      </c>
      <c r="H15" s="129">
        <f>'PROYECCIÓN DE VENTAS'!H15</f>
        <v>3</v>
      </c>
      <c r="I15" s="129">
        <f>'PROYECCIÓN DE VENTAS'!I15</f>
        <v>3</v>
      </c>
      <c r="J15" s="129">
        <f>'PROYECCIÓN DE VENTAS'!J15</f>
        <v>3</v>
      </c>
      <c r="K15" s="129">
        <f>'PROYECCIÓN DE VENTAS'!K15</f>
        <v>3</v>
      </c>
      <c r="L15" s="129">
        <f>'PROYECCIÓN DE VENTAS'!L15</f>
        <v>3</v>
      </c>
      <c r="M15" s="129">
        <f>'PROYECCIÓN DE VENTAS'!M15</f>
        <v>3</v>
      </c>
      <c r="N15" s="129">
        <f>'PROYECCIÓN DE VENTAS'!N15</f>
        <v>3</v>
      </c>
      <c r="O15" s="129">
        <f t="shared" si="0"/>
        <v>28</v>
      </c>
    </row>
    <row r="16" spans="1:15" ht="24.75" x14ac:dyDescent="0.25">
      <c r="A16" s="121" t="s">
        <v>175</v>
      </c>
      <c r="B16" s="135">
        <f>'PROYECCIÓN DE VENTAS'!B16</f>
        <v>0.63220583839792766</v>
      </c>
      <c r="C16" s="129">
        <f>'PROYECCIÓN DE VENTAS'!C16</f>
        <v>1</v>
      </c>
      <c r="D16" s="129">
        <f>'PROYECCIÓN DE VENTAS'!D16</f>
        <v>1</v>
      </c>
      <c r="E16" s="129">
        <f>'PROYECCIÓN DE VENTAS'!E16</f>
        <v>1</v>
      </c>
      <c r="F16" s="129">
        <f>'PROYECCIÓN DE VENTAS'!F16</f>
        <v>2</v>
      </c>
      <c r="G16" s="129">
        <f>'PROYECCIÓN DE VENTAS'!G16</f>
        <v>2</v>
      </c>
      <c r="H16" s="129">
        <f>'PROYECCIÓN DE VENTAS'!H16</f>
        <v>2</v>
      </c>
      <c r="I16" s="129">
        <f>'PROYECCIÓN DE VENTAS'!I16</f>
        <v>2</v>
      </c>
      <c r="J16" s="129">
        <f>'PROYECCIÓN DE VENTAS'!J16</f>
        <v>2</v>
      </c>
      <c r="K16" s="129">
        <f>'PROYECCIÓN DE VENTAS'!K16</f>
        <v>2</v>
      </c>
      <c r="L16" s="129">
        <f>'PROYECCIÓN DE VENTAS'!L16</f>
        <v>2</v>
      </c>
      <c r="M16" s="129">
        <f>'PROYECCIÓN DE VENTAS'!M16</f>
        <v>2</v>
      </c>
      <c r="N16" s="129">
        <f>'PROYECCIÓN DE VENTAS'!N16</f>
        <v>2</v>
      </c>
      <c r="O16" s="129">
        <f t="shared" si="0"/>
        <v>21</v>
      </c>
    </row>
    <row r="17" spans="1:17" ht="24.75" x14ac:dyDescent="0.25">
      <c r="A17" s="121" t="s">
        <v>171</v>
      </c>
      <c r="B17" s="135">
        <f>'PROYECCIÓN DE VENTAS'!B17</f>
        <v>0.23464731441249884</v>
      </c>
      <c r="C17" s="129">
        <f>'PROYECCIÓN DE VENTAS'!C17</f>
        <v>0</v>
      </c>
      <c r="D17" s="129">
        <f>'PROYECCIÓN DE VENTAS'!D17</f>
        <v>0</v>
      </c>
      <c r="E17" s="129">
        <f>'PROYECCIÓN DE VENTAS'!E17</f>
        <v>1</v>
      </c>
      <c r="F17" s="129">
        <f>'PROYECCIÓN DE VENTAS'!F17</f>
        <v>1</v>
      </c>
      <c r="G17" s="129">
        <f>'PROYECCIÓN DE VENTAS'!G17</f>
        <v>1</v>
      </c>
      <c r="H17" s="129">
        <f>'PROYECCIÓN DE VENTAS'!H17</f>
        <v>1</v>
      </c>
      <c r="I17" s="129">
        <f>'PROYECCIÓN DE VENTAS'!I17</f>
        <v>1</v>
      </c>
      <c r="J17" s="129">
        <f>'PROYECCIÓN DE VENTAS'!J17</f>
        <v>1</v>
      </c>
      <c r="K17" s="129">
        <f>'PROYECCIÓN DE VENTAS'!K17</f>
        <v>1</v>
      </c>
      <c r="L17" s="129">
        <f>'PROYECCIÓN DE VENTAS'!L17</f>
        <v>1</v>
      </c>
      <c r="M17" s="129">
        <f>'PROYECCIÓN DE VENTAS'!M17</f>
        <v>1</v>
      </c>
      <c r="N17" s="129">
        <f>'PROYECCIÓN DE VENTAS'!N17</f>
        <v>1</v>
      </c>
      <c r="O17" s="129">
        <f t="shared" si="0"/>
        <v>10</v>
      </c>
    </row>
    <row r="18" spans="1:17" ht="24.75" x14ac:dyDescent="0.25">
      <c r="A18" s="121" t="s">
        <v>176</v>
      </c>
      <c r="B18" s="135">
        <f>'PROYECCIÓN DE VENTAS'!B18</f>
        <v>2.7227263950569611E-2</v>
      </c>
      <c r="C18" s="129">
        <f>'PROYECCIÓN DE VENTAS'!C18</f>
        <v>0</v>
      </c>
      <c r="D18" s="129">
        <f>'PROYECCIÓN DE VENTAS'!D18</f>
        <v>0</v>
      </c>
      <c r="E18" s="129">
        <f>'PROYECCIÓN DE VENTAS'!E18</f>
        <v>0</v>
      </c>
      <c r="F18" s="129">
        <f>'PROYECCIÓN DE VENTAS'!F18</f>
        <v>0</v>
      </c>
      <c r="G18" s="129">
        <f>'PROYECCIÓN DE VENTAS'!G18</f>
        <v>0</v>
      </c>
      <c r="H18" s="129">
        <f>'PROYECCIÓN DE VENTAS'!H18</f>
        <v>1</v>
      </c>
      <c r="I18" s="129">
        <f>'PROYECCIÓN DE VENTAS'!I18</f>
        <v>1</v>
      </c>
      <c r="J18" s="129">
        <f>'PROYECCIÓN DE VENTAS'!J18</f>
        <v>1</v>
      </c>
      <c r="K18" s="129">
        <f>'PROYECCIÓN DE VENTAS'!K18</f>
        <v>1</v>
      </c>
      <c r="L18" s="129">
        <f>'PROYECCIÓN DE VENTAS'!L18</f>
        <v>1</v>
      </c>
      <c r="M18" s="129">
        <f>'PROYECCIÓN DE VENTAS'!M18</f>
        <v>1</v>
      </c>
      <c r="N18" s="129">
        <f>'PROYECCIÓN DE VENTAS'!N18</f>
        <v>1</v>
      </c>
      <c r="O18" s="129">
        <f t="shared" si="0"/>
        <v>7</v>
      </c>
    </row>
    <row r="19" spans="1:17" ht="24.75" x14ac:dyDescent="0.25">
      <c r="A19" s="121" t="s">
        <v>177</v>
      </c>
      <c r="B19" s="135">
        <f>'PROYECCIÓN DE VENTAS'!B19</f>
        <v>0</v>
      </c>
      <c r="C19" s="129">
        <f>'PROYECCIÓN DE VENTAS'!C19</f>
        <v>0</v>
      </c>
      <c r="D19" s="129">
        <f>'PROYECCIÓN DE VENTAS'!D19</f>
        <v>0</v>
      </c>
      <c r="E19" s="129">
        <f>'PROYECCIÓN DE VENTAS'!E19</f>
        <v>0</v>
      </c>
      <c r="F19" s="129">
        <f>'PROYECCIÓN DE VENTAS'!F19</f>
        <v>0</v>
      </c>
      <c r="G19" s="129">
        <f>'PROYECCIÓN DE VENTAS'!G19</f>
        <v>0</v>
      </c>
      <c r="H19" s="129">
        <f>'PROYECCIÓN DE VENTAS'!H19</f>
        <v>0</v>
      </c>
      <c r="I19" s="129">
        <f>'PROYECCIÓN DE VENTAS'!I19</f>
        <v>0</v>
      </c>
      <c r="J19" s="129">
        <f>'PROYECCIÓN DE VENTAS'!J19</f>
        <v>0</v>
      </c>
      <c r="K19" s="129">
        <f>'PROYECCIÓN DE VENTAS'!K19</f>
        <v>0</v>
      </c>
      <c r="L19" s="129">
        <f>'PROYECCIÓN DE VENTAS'!L19</f>
        <v>0</v>
      </c>
      <c r="M19" s="129">
        <f>'PROYECCIÓN DE VENTAS'!M19</f>
        <v>1</v>
      </c>
      <c r="N19" s="129">
        <f>'PROYECCIÓN DE VENTAS'!N19</f>
        <v>1</v>
      </c>
      <c r="O19" s="129">
        <f t="shared" si="0"/>
        <v>2</v>
      </c>
    </row>
    <row r="20" spans="1:17" ht="15.75" customHeight="1" thickBot="1" x14ac:dyDescent="0.3">
      <c r="A20" s="122" t="s">
        <v>178</v>
      </c>
      <c r="B20" s="135">
        <f>'PROYECCIÓN DE VENTAS'!B20</f>
        <v>0.45896712596289468</v>
      </c>
      <c r="C20" s="129">
        <f>'PROYECCIÓN DE VENTAS'!C20</f>
        <v>1</v>
      </c>
      <c r="D20" s="129">
        <f>'PROYECCIÓN DE VENTAS'!D20</f>
        <v>1</v>
      </c>
      <c r="E20" s="129">
        <f>'PROYECCIÓN DE VENTAS'!E20</f>
        <v>2</v>
      </c>
      <c r="F20" s="129">
        <f>'PROYECCIÓN DE VENTAS'!F20</f>
        <v>2</v>
      </c>
      <c r="G20" s="129">
        <f>'PROYECCIÓN DE VENTAS'!G20</f>
        <v>2</v>
      </c>
      <c r="H20" s="129">
        <f>'PROYECCIÓN DE VENTAS'!H20</f>
        <v>2</v>
      </c>
      <c r="I20" s="129">
        <f>'PROYECCIÓN DE VENTAS'!I20</f>
        <v>3</v>
      </c>
      <c r="J20" s="129">
        <f>'PROYECCIÓN DE VENTAS'!J20</f>
        <v>3</v>
      </c>
      <c r="K20" s="129">
        <f>'PROYECCIÓN DE VENTAS'!K20</f>
        <v>3</v>
      </c>
      <c r="L20" s="129">
        <f>'PROYECCIÓN DE VENTAS'!L20</f>
        <v>3</v>
      </c>
      <c r="M20" s="129">
        <f>'PROYECCIÓN DE VENTAS'!M20</f>
        <v>3</v>
      </c>
      <c r="N20" s="129">
        <f>'PROYECCIÓN DE VENTAS'!N20</f>
        <v>3</v>
      </c>
      <c r="O20" s="129">
        <f t="shared" si="0"/>
        <v>28</v>
      </c>
    </row>
    <row r="21" spans="1:17" ht="15.75" customHeight="1" thickBot="1" x14ac:dyDescent="0.3">
      <c r="A21" s="131" t="s">
        <v>255</v>
      </c>
      <c r="B21" s="136">
        <f t="shared" ref="B21:O21" si="1">SUM(B10:B20)</f>
        <v>8.0437411420444889</v>
      </c>
      <c r="C21" s="132">
        <f t="shared" si="1"/>
        <v>11</v>
      </c>
      <c r="D21" s="132">
        <f t="shared" si="1"/>
        <v>12</v>
      </c>
      <c r="E21" s="132">
        <f t="shared" si="1"/>
        <v>14</v>
      </c>
      <c r="F21" s="132">
        <f t="shared" si="1"/>
        <v>19</v>
      </c>
      <c r="G21" s="132">
        <f t="shared" si="1"/>
        <v>22</v>
      </c>
      <c r="H21" s="132">
        <f t="shared" si="1"/>
        <v>24</v>
      </c>
      <c r="I21" s="132">
        <f t="shared" si="1"/>
        <v>25</v>
      </c>
      <c r="J21" s="132">
        <f t="shared" si="1"/>
        <v>25</v>
      </c>
      <c r="K21" s="132">
        <f t="shared" si="1"/>
        <v>25</v>
      </c>
      <c r="L21" s="132">
        <f t="shared" si="1"/>
        <v>25</v>
      </c>
      <c r="M21" s="132">
        <f t="shared" si="1"/>
        <v>26</v>
      </c>
      <c r="N21" s="132">
        <f t="shared" si="1"/>
        <v>26</v>
      </c>
      <c r="O21" s="133">
        <f t="shared" si="1"/>
        <v>254</v>
      </c>
    </row>
    <row r="22" spans="1:17" ht="15.75" customHeight="1" x14ac:dyDescent="0.25"/>
    <row r="24" spans="1:17" ht="15.75" thickBot="1" x14ac:dyDescent="0.3">
      <c r="A24" s="113" t="s">
        <v>254</v>
      </c>
      <c r="B24" s="113"/>
      <c r="C24" s="113"/>
      <c r="D24" s="113"/>
    </row>
    <row r="25" spans="1:17" ht="39" x14ac:dyDescent="0.25">
      <c r="A25" s="117" t="s">
        <v>215</v>
      </c>
      <c r="B25" s="156" t="s">
        <v>262</v>
      </c>
      <c r="C25" s="156" t="s">
        <v>260</v>
      </c>
      <c r="D25" s="156" t="s">
        <v>263</v>
      </c>
      <c r="E25" s="118" t="s">
        <v>216</v>
      </c>
      <c r="F25" s="118" t="s">
        <v>217</v>
      </c>
      <c r="G25" s="118" t="s">
        <v>218</v>
      </c>
      <c r="H25" s="118" t="s">
        <v>219</v>
      </c>
      <c r="I25" s="118" t="s">
        <v>220</v>
      </c>
      <c r="J25" s="118" t="s">
        <v>221</v>
      </c>
      <c r="K25" s="118" t="s">
        <v>222</v>
      </c>
      <c r="L25" s="118" t="s">
        <v>223</v>
      </c>
      <c r="M25" s="118" t="s">
        <v>224</v>
      </c>
      <c r="N25" s="118" t="s">
        <v>225</v>
      </c>
      <c r="O25" s="118" t="s">
        <v>226</v>
      </c>
      <c r="P25" s="118" t="s">
        <v>227</v>
      </c>
      <c r="Q25" s="119" t="s">
        <v>32</v>
      </c>
    </row>
    <row r="26" spans="1:17" x14ac:dyDescent="0.25">
      <c r="A26" s="120" t="s">
        <v>168</v>
      </c>
      <c r="B26" s="137">
        <f>'PUNTO DE EQUILIBRIO'!F10</f>
        <v>503.59999999999997</v>
      </c>
      <c r="C26" s="159">
        <f>$B$39*'PUNTO DE EQUILIBRIO'!D10</f>
        <v>1735.2</v>
      </c>
      <c r="D26" s="137">
        <f>B26+C26</f>
        <v>2238.8000000000002</v>
      </c>
      <c r="E26" s="139">
        <f>$D$26*C10</f>
        <v>4477.6000000000004</v>
      </c>
      <c r="F26" s="139">
        <f t="shared" ref="F26:P26" si="2">$D$26*D10</f>
        <v>4477.6000000000004</v>
      </c>
      <c r="G26" s="139">
        <f t="shared" si="2"/>
        <v>4477.6000000000004</v>
      </c>
      <c r="H26" s="139">
        <f t="shared" si="2"/>
        <v>6716.4000000000005</v>
      </c>
      <c r="I26" s="139">
        <f t="shared" si="2"/>
        <v>6716.4000000000005</v>
      </c>
      <c r="J26" s="139">
        <f t="shared" si="2"/>
        <v>6716.4000000000005</v>
      </c>
      <c r="K26" s="139">
        <f t="shared" si="2"/>
        <v>6716.4000000000005</v>
      </c>
      <c r="L26" s="139">
        <f t="shared" si="2"/>
        <v>6716.4000000000005</v>
      </c>
      <c r="M26" s="139">
        <f t="shared" si="2"/>
        <v>6716.4000000000005</v>
      </c>
      <c r="N26" s="139">
        <f t="shared" si="2"/>
        <v>6716.4000000000005</v>
      </c>
      <c r="O26" s="139">
        <f t="shared" si="2"/>
        <v>6716.4000000000005</v>
      </c>
      <c r="P26" s="139">
        <f t="shared" si="2"/>
        <v>6716.4000000000005</v>
      </c>
      <c r="Q26" s="139">
        <f>SUM(E26:P26)</f>
        <v>73880.399999999994</v>
      </c>
    </row>
    <row r="27" spans="1:17" x14ac:dyDescent="0.25">
      <c r="A27" s="120" t="s">
        <v>126</v>
      </c>
      <c r="B27" s="137">
        <f>'PUNTO DE EQUILIBRIO'!F11</f>
        <v>499.59999999999997</v>
      </c>
      <c r="C27" s="159">
        <f>$B$39*'PUNTO DE EQUILIBRIO'!D11</f>
        <v>1446</v>
      </c>
      <c r="D27" s="137">
        <f t="shared" ref="D27:D36" si="3">B27+C27</f>
        <v>1945.6</v>
      </c>
      <c r="E27" s="139">
        <f>$D$27*C11</f>
        <v>3891.2</v>
      </c>
      <c r="F27" s="139">
        <f t="shared" ref="F27:P27" si="4">$D$27*D11</f>
        <v>3891.2</v>
      </c>
      <c r="G27" s="139">
        <f t="shared" si="4"/>
        <v>3891.2</v>
      </c>
      <c r="H27" s="139">
        <f t="shared" si="4"/>
        <v>5836.7999999999993</v>
      </c>
      <c r="I27" s="139">
        <f t="shared" si="4"/>
        <v>7782.4</v>
      </c>
      <c r="J27" s="139">
        <f t="shared" si="4"/>
        <v>7782.4</v>
      </c>
      <c r="K27" s="139">
        <f t="shared" si="4"/>
        <v>7782.4</v>
      </c>
      <c r="L27" s="139">
        <f t="shared" si="4"/>
        <v>7782.4</v>
      </c>
      <c r="M27" s="139">
        <f t="shared" si="4"/>
        <v>7782.4</v>
      </c>
      <c r="N27" s="139">
        <f t="shared" si="4"/>
        <v>7782.4</v>
      </c>
      <c r="O27" s="139">
        <f t="shared" si="4"/>
        <v>7782.4</v>
      </c>
      <c r="P27" s="139">
        <f t="shared" si="4"/>
        <v>7782.4</v>
      </c>
      <c r="Q27" s="139">
        <f t="shared" ref="Q27:Q36" si="5">SUM(E27:P27)</f>
        <v>79769.599999999991</v>
      </c>
    </row>
    <row r="28" spans="1:17" ht="25.5" customHeight="1" x14ac:dyDescent="0.25">
      <c r="A28" s="121" t="s">
        <v>169</v>
      </c>
      <c r="B28" s="137">
        <f>'PUNTO DE EQUILIBRIO'!F12</f>
        <v>3053.6</v>
      </c>
      <c r="C28" s="159">
        <f>$B$39*'PUNTO DE EQUILIBRIO'!D12</f>
        <v>1156.8</v>
      </c>
      <c r="D28" s="137">
        <f t="shared" si="3"/>
        <v>4210.3999999999996</v>
      </c>
      <c r="E28" s="139">
        <f>$D$28*C12</f>
        <v>4210.3999999999996</v>
      </c>
      <c r="F28" s="139">
        <f t="shared" ref="F28:P28" si="6">$D$28*D12</f>
        <v>4210.3999999999996</v>
      </c>
      <c r="G28" s="139">
        <f t="shared" si="6"/>
        <v>4210.3999999999996</v>
      </c>
      <c r="H28" s="139">
        <f t="shared" si="6"/>
        <v>8420.7999999999993</v>
      </c>
      <c r="I28" s="139">
        <f t="shared" si="6"/>
        <v>12631.199999999999</v>
      </c>
      <c r="J28" s="139">
        <f t="shared" si="6"/>
        <v>12631.199999999999</v>
      </c>
      <c r="K28" s="139">
        <f t="shared" si="6"/>
        <v>12631.199999999999</v>
      </c>
      <c r="L28" s="139">
        <f t="shared" si="6"/>
        <v>12631.199999999999</v>
      </c>
      <c r="M28" s="139">
        <f t="shared" si="6"/>
        <v>12631.199999999999</v>
      </c>
      <c r="N28" s="139">
        <f t="shared" si="6"/>
        <v>12631.199999999999</v>
      </c>
      <c r="O28" s="139">
        <f t="shared" si="6"/>
        <v>12631.199999999999</v>
      </c>
      <c r="P28" s="139">
        <f t="shared" si="6"/>
        <v>12631.199999999999</v>
      </c>
      <c r="Q28" s="139">
        <f t="shared" si="5"/>
        <v>122101.59999999998</v>
      </c>
    </row>
    <row r="29" spans="1:17" ht="26.25" customHeight="1" x14ac:dyDescent="0.25">
      <c r="A29" s="121" t="s">
        <v>170</v>
      </c>
      <c r="B29" s="137">
        <f>'PUNTO DE EQUILIBRIO'!F13</f>
        <v>3376.5</v>
      </c>
      <c r="C29" s="159">
        <f>$B$39*'PUNTO DE EQUILIBRIO'!D13</f>
        <v>1446</v>
      </c>
      <c r="D29" s="137">
        <f t="shared" si="3"/>
        <v>4822.5</v>
      </c>
      <c r="E29" s="139">
        <f>$D$29*C13</f>
        <v>9645</v>
      </c>
      <c r="F29" s="139">
        <f t="shared" ref="F29:P29" si="7">$D$29*D13</f>
        <v>9645</v>
      </c>
      <c r="G29" s="139">
        <f t="shared" si="7"/>
        <v>9645</v>
      </c>
      <c r="H29" s="139">
        <f t="shared" si="7"/>
        <v>9645</v>
      </c>
      <c r="I29" s="139">
        <f t="shared" si="7"/>
        <v>14467.5</v>
      </c>
      <c r="J29" s="139">
        <f t="shared" si="7"/>
        <v>14467.5</v>
      </c>
      <c r="K29" s="139">
        <f t="shared" si="7"/>
        <v>14467.5</v>
      </c>
      <c r="L29" s="139">
        <f t="shared" si="7"/>
        <v>14467.5</v>
      </c>
      <c r="M29" s="139">
        <f t="shared" si="7"/>
        <v>14467.5</v>
      </c>
      <c r="N29" s="139">
        <f t="shared" si="7"/>
        <v>14467.5</v>
      </c>
      <c r="O29" s="139">
        <f t="shared" si="7"/>
        <v>14467.5</v>
      </c>
      <c r="P29" s="139">
        <f t="shared" si="7"/>
        <v>14467.5</v>
      </c>
      <c r="Q29" s="139">
        <f t="shared" si="5"/>
        <v>154320</v>
      </c>
    </row>
    <row r="30" spans="1:17" ht="26.25" customHeight="1" x14ac:dyDescent="0.25">
      <c r="A30" s="121" t="s">
        <v>173</v>
      </c>
      <c r="B30" s="137">
        <f>'PUNTO DE EQUILIBRIO'!F14</f>
        <v>5444.5</v>
      </c>
      <c r="C30" s="159">
        <f>$B$39*'PUNTO DE EQUILIBRIO'!D14</f>
        <v>1879.8</v>
      </c>
      <c r="D30" s="137">
        <f t="shared" si="3"/>
        <v>7324.3</v>
      </c>
      <c r="E30" s="139">
        <f>$D$30*C14</f>
        <v>7324.3</v>
      </c>
      <c r="F30" s="139">
        <f t="shared" ref="F30:P30" si="8">$D$30*D14</f>
        <v>14648.6</v>
      </c>
      <c r="G30" s="139">
        <f t="shared" si="8"/>
        <v>14648.6</v>
      </c>
      <c r="H30" s="139">
        <f t="shared" si="8"/>
        <v>14648.6</v>
      </c>
      <c r="I30" s="139">
        <f t="shared" si="8"/>
        <v>14648.6</v>
      </c>
      <c r="J30" s="139">
        <f t="shared" si="8"/>
        <v>14648.6</v>
      </c>
      <c r="K30" s="139">
        <f t="shared" si="8"/>
        <v>14648.6</v>
      </c>
      <c r="L30" s="139">
        <f t="shared" si="8"/>
        <v>14648.6</v>
      </c>
      <c r="M30" s="139">
        <f t="shared" si="8"/>
        <v>14648.6</v>
      </c>
      <c r="N30" s="139">
        <f t="shared" si="8"/>
        <v>14648.6</v>
      </c>
      <c r="O30" s="139">
        <f t="shared" si="8"/>
        <v>14648.6</v>
      </c>
      <c r="P30" s="139">
        <f t="shared" si="8"/>
        <v>14648.6</v>
      </c>
      <c r="Q30" s="139">
        <f t="shared" si="5"/>
        <v>168458.90000000002</v>
      </c>
    </row>
    <row r="31" spans="1:17" ht="26.25" customHeight="1" x14ac:dyDescent="0.25">
      <c r="A31" s="121" t="s">
        <v>174</v>
      </c>
      <c r="B31" s="137">
        <f>'PUNTO DE EQUILIBRIO'!F15</f>
        <v>8361.5</v>
      </c>
      <c r="C31" s="159">
        <f>$B$39*'PUNTO DE EQUILIBRIO'!D15</f>
        <v>2169</v>
      </c>
      <c r="D31" s="137">
        <f t="shared" si="3"/>
        <v>10530.5</v>
      </c>
      <c r="E31" s="139">
        <f>$D$31*C15</f>
        <v>10530.5</v>
      </c>
      <c r="F31" s="139">
        <f t="shared" ref="F31:P31" si="9">$D$31*D15</f>
        <v>10530.5</v>
      </c>
      <c r="G31" s="139">
        <f t="shared" si="9"/>
        <v>10530.5</v>
      </c>
      <c r="H31" s="139">
        <f t="shared" si="9"/>
        <v>21061</v>
      </c>
      <c r="I31" s="139">
        <f t="shared" si="9"/>
        <v>21061</v>
      </c>
      <c r="J31" s="139">
        <f t="shared" si="9"/>
        <v>31591.5</v>
      </c>
      <c r="K31" s="139">
        <f t="shared" si="9"/>
        <v>31591.5</v>
      </c>
      <c r="L31" s="139">
        <f t="shared" si="9"/>
        <v>31591.5</v>
      </c>
      <c r="M31" s="139">
        <f t="shared" si="9"/>
        <v>31591.5</v>
      </c>
      <c r="N31" s="139">
        <f t="shared" si="9"/>
        <v>31591.5</v>
      </c>
      <c r="O31" s="139">
        <f t="shared" si="9"/>
        <v>31591.5</v>
      </c>
      <c r="P31" s="139">
        <f t="shared" si="9"/>
        <v>31591.5</v>
      </c>
      <c r="Q31" s="139">
        <f t="shared" si="5"/>
        <v>294854</v>
      </c>
    </row>
    <row r="32" spans="1:17" ht="25.5" customHeight="1" x14ac:dyDescent="0.25">
      <c r="A32" s="121" t="s">
        <v>175</v>
      </c>
      <c r="B32" s="137">
        <f>'PUNTO DE EQUILIBRIO'!F16</f>
        <v>16981.5</v>
      </c>
      <c r="C32" s="159">
        <f>$B$39*'PUNTO DE EQUILIBRIO'!D16</f>
        <v>2169</v>
      </c>
      <c r="D32" s="137">
        <f t="shared" si="3"/>
        <v>19150.5</v>
      </c>
      <c r="E32" s="139">
        <f>$D$32*C16</f>
        <v>19150.5</v>
      </c>
      <c r="F32" s="139">
        <f t="shared" ref="F32:P32" si="10">$D$32*D16</f>
        <v>19150.5</v>
      </c>
      <c r="G32" s="139">
        <f t="shared" si="10"/>
        <v>19150.5</v>
      </c>
      <c r="H32" s="139">
        <f t="shared" si="10"/>
        <v>38301</v>
      </c>
      <c r="I32" s="139">
        <f t="shared" si="10"/>
        <v>38301</v>
      </c>
      <c r="J32" s="139">
        <f t="shared" si="10"/>
        <v>38301</v>
      </c>
      <c r="K32" s="139">
        <f t="shared" si="10"/>
        <v>38301</v>
      </c>
      <c r="L32" s="139">
        <f t="shared" si="10"/>
        <v>38301</v>
      </c>
      <c r="M32" s="139">
        <f t="shared" si="10"/>
        <v>38301</v>
      </c>
      <c r="N32" s="139">
        <f t="shared" si="10"/>
        <v>38301</v>
      </c>
      <c r="O32" s="139">
        <f t="shared" si="10"/>
        <v>38301</v>
      </c>
      <c r="P32" s="139">
        <f t="shared" si="10"/>
        <v>38301</v>
      </c>
      <c r="Q32" s="139">
        <f t="shared" si="5"/>
        <v>402160.5</v>
      </c>
    </row>
    <row r="33" spans="1:17" ht="28.5" customHeight="1" x14ac:dyDescent="0.25">
      <c r="A33" s="121" t="s">
        <v>171</v>
      </c>
      <c r="B33" s="137">
        <f>'PUNTO DE EQUILIBRIO'!F17</f>
        <v>27591.5</v>
      </c>
      <c r="C33" s="159">
        <f>$B$39*'PUNTO DE EQUILIBRIO'!D17</f>
        <v>867.6</v>
      </c>
      <c r="D33" s="137">
        <f t="shared" si="3"/>
        <v>28459.1</v>
      </c>
      <c r="E33" s="139">
        <f>$D$33*C17</f>
        <v>0</v>
      </c>
      <c r="F33" s="139">
        <f t="shared" ref="F33:O33" si="11">$D$33*D17</f>
        <v>0</v>
      </c>
      <c r="G33" s="139">
        <f t="shared" si="11"/>
        <v>28459.1</v>
      </c>
      <c r="H33" s="139">
        <f t="shared" si="11"/>
        <v>28459.1</v>
      </c>
      <c r="I33" s="139">
        <f t="shared" si="11"/>
        <v>28459.1</v>
      </c>
      <c r="J33" s="139">
        <f t="shared" si="11"/>
        <v>28459.1</v>
      </c>
      <c r="K33" s="139">
        <f t="shared" si="11"/>
        <v>28459.1</v>
      </c>
      <c r="L33" s="139">
        <f t="shared" si="11"/>
        <v>28459.1</v>
      </c>
      <c r="M33" s="139">
        <f t="shared" si="11"/>
        <v>28459.1</v>
      </c>
      <c r="N33" s="139">
        <f t="shared" si="11"/>
        <v>28459.1</v>
      </c>
      <c r="O33" s="139">
        <f t="shared" si="11"/>
        <v>28459.1</v>
      </c>
      <c r="P33" s="139">
        <f>$D$33*N17</f>
        <v>28459.1</v>
      </c>
      <c r="Q33" s="139">
        <f t="shared" si="5"/>
        <v>284591</v>
      </c>
    </row>
    <row r="34" spans="1:17" ht="29.25" customHeight="1" x14ac:dyDescent="0.25">
      <c r="A34" s="121" t="s">
        <v>176</v>
      </c>
      <c r="B34" s="137">
        <f>'PUNTO DE EQUILIBRIO'!F18</f>
        <v>47231.5</v>
      </c>
      <c r="C34" s="159">
        <f>$B$39*'PUNTO DE EQUILIBRIO'!D18</f>
        <v>144.6</v>
      </c>
      <c r="D34" s="137">
        <f t="shared" si="3"/>
        <v>47376.1</v>
      </c>
      <c r="E34" s="139">
        <f>$D$34*C18</f>
        <v>0</v>
      </c>
      <c r="F34" s="139">
        <f t="shared" ref="F34:P34" si="12">$D$34*D18</f>
        <v>0</v>
      </c>
      <c r="G34" s="139">
        <f t="shared" si="12"/>
        <v>0</v>
      </c>
      <c r="H34" s="139">
        <f t="shared" si="12"/>
        <v>0</v>
      </c>
      <c r="I34" s="139">
        <f t="shared" si="12"/>
        <v>0</v>
      </c>
      <c r="J34" s="139">
        <f t="shared" si="12"/>
        <v>47376.1</v>
      </c>
      <c r="K34" s="139">
        <f t="shared" si="12"/>
        <v>47376.1</v>
      </c>
      <c r="L34" s="139">
        <f t="shared" si="12"/>
        <v>47376.1</v>
      </c>
      <c r="M34" s="139">
        <f t="shared" si="12"/>
        <v>47376.1</v>
      </c>
      <c r="N34" s="139">
        <f t="shared" si="12"/>
        <v>47376.1</v>
      </c>
      <c r="O34" s="139">
        <f t="shared" si="12"/>
        <v>47376.1</v>
      </c>
      <c r="P34" s="139">
        <f t="shared" si="12"/>
        <v>47376.1</v>
      </c>
      <c r="Q34" s="139">
        <f t="shared" si="5"/>
        <v>331632.69999999995</v>
      </c>
    </row>
    <row r="35" spans="1:17" ht="25.5" customHeight="1" x14ac:dyDescent="0.25">
      <c r="A35" s="121" t="s">
        <v>177</v>
      </c>
      <c r="B35" s="137">
        <f>'PUNTO DE EQUILIBRIO'!F19</f>
        <v>62381.5</v>
      </c>
      <c r="C35" s="159">
        <f>$B$39*'PUNTO DE EQUILIBRIO'!D19</f>
        <v>0</v>
      </c>
      <c r="D35" s="137">
        <f t="shared" si="3"/>
        <v>62381.5</v>
      </c>
      <c r="E35" s="139">
        <f>$D$35*C19</f>
        <v>0</v>
      </c>
      <c r="F35" s="139">
        <f t="shared" ref="F35:P35" si="13">$D$35*D19</f>
        <v>0</v>
      </c>
      <c r="G35" s="139">
        <f t="shared" si="13"/>
        <v>0</v>
      </c>
      <c r="H35" s="139">
        <f t="shared" si="13"/>
        <v>0</v>
      </c>
      <c r="I35" s="139">
        <f t="shared" si="13"/>
        <v>0</v>
      </c>
      <c r="J35" s="139">
        <f t="shared" si="13"/>
        <v>0</v>
      </c>
      <c r="K35" s="139">
        <f t="shared" si="13"/>
        <v>0</v>
      </c>
      <c r="L35" s="139">
        <f t="shared" si="13"/>
        <v>0</v>
      </c>
      <c r="M35" s="139">
        <f t="shared" si="13"/>
        <v>0</v>
      </c>
      <c r="N35" s="139">
        <f t="shared" si="13"/>
        <v>0</v>
      </c>
      <c r="O35" s="139">
        <f t="shared" si="13"/>
        <v>62381.5</v>
      </c>
      <c r="P35" s="139">
        <f t="shared" si="13"/>
        <v>62381.5</v>
      </c>
      <c r="Q35" s="139">
        <f t="shared" si="5"/>
        <v>124763</v>
      </c>
    </row>
    <row r="36" spans="1:17" ht="27.75" customHeight="1" thickBot="1" x14ac:dyDescent="0.3">
      <c r="A36" s="162" t="s">
        <v>178</v>
      </c>
      <c r="B36" s="160">
        <f>'PUNTO DE EQUILIBRIO'!F20</f>
        <v>15391.5</v>
      </c>
      <c r="C36" s="163">
        <f>$B$39*'PUNTO DE EQUILIBRIO'!D20</f>
        <v>1446</v>
      </c>
      <c r="D36" s="160">
        <f t="shared" si="3"/>
        <v>16837.5</v>
      </c>
      <c r="E36" s="161">
        <f>$D$36*C20</f>
        <v>16837.5</v>
      </c>
      <c r="F36" s="161">
        <f t="shared" ref="F36:P36" si="14">$D$36*D20</f>
        <v>16837.5</v>
      </c>
      <c r="G36" s="161">
        <f t="shared" si="14"/>
        <v>33675</v>
      </c>
      <c r="H36" s="161">
        <f t="shared" si="14"/>
        <v>33675</v>
      </c>
      <c r="I36" s="161">
        <f t="shared" si="14"/>
        <v>33675</v>
      </c>
      <c r="J36" s="161">
        <f t="shared" si="14"/>
        <v>33675</v>
      </c>
      <c r="K36" s="161">
        <f t="shared" si="14"/>
        <v>50512.5</v>
      </c>
      <c r="L36" s="161">
        <f t="shared" si="14"/>
        <v>50512.5</v>
      </c>
      <c r="M36" s="161">
        <f t="shared" si="14"/>
        <v>50512.5</v>
      </c>
      <c r="N36" s="161">
        <f t="shared" si="14"/>
        <v>50512.5</v>
      </c>
      <c r="O36" s="161">
        <f t="shared" si="14"/>
        <v>50512.5</v>
      </c>
      <c r="P36" s="161">
        <f t="shared" si="14"/>
        <v>50512.5</v>
      </c>
      <c r="Q36" s="139">
        <f t="shared" si="5"/>
        <v>471450</v>
      </c>
    </row>
    <row r="37" spans="1:17" ht="15.75" thickBot="1" x14ac:dyDescent="0.3">
      <c r="A37" s="164" t="s">
        <v>261</v>
      </c>
      <c r="B37" s="165"/>
      <c r="C37" s="225">
        <f>SUM(C26:C36)</f>
        <v>14460</v>
      </c>
      <c r="D37" s="226"/>
      <c r="E37" s="140">
        <f t="shared" ref="E37:Q37" si="15">SUM(E26:E36)</f>
        <v>76067</v>
      </c>
      <c r="F37" s="140">
        <f t="shared" si="15"/>
        <v>83391.299999999988</v>
      </c>
      <c r="G37" s="140">
        <f t="shared" si="15"/>
        <v>128687.9</v>
      </c>
      <c r="H37" s="140">
        <f t="shared" si="15"/>
        <v>166763.70000000001</v>
      </c>
      <c r="I37" s="140">
        <f t="shared" si="15"/>
        <v>177742.2</v>
      </c>
      <c r="J37" s="140">
        <f t="shared" si="15"/>
        <v>235648.80000000002</v>
      </c>
      <c r="K37" s="140">
        <f t="shared" si="15"/>
        <v>252486.30000000002</v>
      </c>
      <c r="L37" s="140">
        <f t="shared" si="15"/>
        <v>252486.30000000002</v>
      </c>
      <c r="M37" s="140">
        <f t="shared" si="15"/>
        <v>252486.30000000002</v>
      </c>
      <c r="N37" s="140">
        <f t="shared" si="15"/>
        <v>252486.30000000002</v>
      </c>
      <c r="O37" s="140">
        <f t="shared" si="15"/>
        <v>314867.80000000005</v>
      </c>
      <c r="P37" s="140">
        <f t="shared" si="15"/>
        <v>314867.80000000005</v>
      </c>
      <c r="Q37" s="141">
        <f t="shared" si="15"/>
        <v>2507981.7000000002</v>
      </c>
    </row>
    <row r="39" spans="1:17" x14ac:dyDescent="0.25">
      <c r="A39" s="158" t="s">
        <v>258</v>
      </c>
      <c r="B39" s="157">
        <f>'INVERSION INICIAL'!E61</f>
        <v>14460</v>
      </c>
    </row>
    <row r="41" spans="1:17" ht="21" x14ac:dyDescent="0.35">
      <c r="A41" s="298" t="s">
        <v>264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</row>
    <row r="42" spans="1:17" ht="27" customHeight="1" thickBot="1" x14ac:dyDescent="0.3">
      <c r="A42" s="112" t="s">
        <v>265</v>
      </c>
      <c r="B42" s="112" t="s">
        <v>216</v>
      </c>
      <c r="C42" s="112" t="s">
        <v>217</v>
      </c>
      <c r="D42" s="112" t="s">
        <v>218</v>
      </c>
      <c r="E42" s="112" t="s">
        <v>219</v>
      </c>
      <c r="F42" s="112" t="s">
        <v>220</v>
      </c>
      <c r="G42" s="112" t="s">
        <v>221</v>
      </c>
      <c r="H42" s="112" t="s">
        <v>222</v>
      </c>
      <c r="I42" s="112" t="s">
        <v>223</v>
      </c>
      <c r="J42" s="112" t="s">
        <v>224</v>
      </c>
      <c r="K42" s="112" t="s">
        <v>225</v>
      </c>
      <c r="L42" s="112" t="s">
        <v>226</v>
      </c>
      <c r="M42" s="112" t="s">
        <v>227</v>
      </c>
    </row>
    <row r="43" spans="1:17" x14ac:dyDescent="0.25">
      <c r="A43" s="166" t="s">
        <v>266</v>
      </c>
      <c r="B43" s="167">
        <f>E37</f>
        <v>76067</v>
      </c>
      <c r="C43" s="167">
        <f t="shared" ref="C43:M43" si="16">F37</f>
        <v>83391.299999999988</v>
      </c>
      <c r="D43" s="167">
        <f t="shared" si="16"/>
        <v>128687.9</v>
      </c>
      <c r="E43" s="167">
        <f t="shared" si="16"/>
        <v>166763.70000000001</v>
      </c>
      <c r="F43" s="167">
        <f t="shared" si="16"/>
        <v>177742.2</v>
      </c>
      <c r="G43" s="167">
        <f t="shared" si="16"/>
        <v>235648.80000000002</v>
      </c>
      <c r="H43" s="167">
        <f t="shared" si="16"/>
        <v>252486.30000000002</v>
      </c>
      <c r="I43" s="167">
        <f t="shared" si="16"/>
        <v>252486.30000000002</v>
      </c>
      <c r="J43" s="167">
        <f t="shared" si="16"/>
        <v>252486.30000000002</v>
      </c>
      <c r="K43" s="167">
        <f t="shared" si="16"/>
        <v>252486.30000000002</v>
      </c>
      <c r="L43" s="167">
        <f t="shared" si="16"/>
        <v>314867.80000000005</v>
      </c>
      <c r="M43" s="167">
        <f t="shared" si="16"/>
        <v>314867.80000000005</v>
      </c>
    </row>
    <row r="44" spans="1:17" x14ac:dyDescent="0.25">
      <c r="A44" s="168" t="s">
        <v>267</v>
      </c>
      <c r="B44" s="171">
        <f>'INVERSION INICIAL'!E75</f>
        <v>550</v>
      </c>
      <c r="C44" s="171">
        <f>$B$44</f>
        <v>550</v>
      </c>
      <c r="D44" s="171">
        <f t="shared" ref="D44:M44" si="17">$B$44</f>
        <v>550</v>
      </c>
      <c r="E44" s="171">
        <f t="shared" si="17"/>
        <v>550</v>
      </c>
      <c r="F44" s="171">
        <f t="shared" si="17"/>
        <v>550</v>
      </c>
      <c r="G44" s="171">
        <f t="shared" si="17"/>
        <v>550</v>
      </c>
      <c r="H44" s="171">
        <f t="shared" si="17"/>
        <v>550</v>
      </c>
      <c r="I44" s="171">
        <f t="shared" si="17"/>
        <v>550</v>
      </c>
      <c r="J44" s="171">
        <f t="shared" si="17"/>
        <v>550</v>
      </c>
      <c r="K44" s="171">
        <f t="shared" si="17"/>
        <v>550</v>
      </c>
      <c r="L44" s="171">
        <f t="shared" si="17"/>
        <v>550</v>
      </c>
      <c r="M44" s="171">
        <f t="shared" si="17"/>
        <v>550</v>
      </c>
    </row>
    <row r="45" spans="1:17" x14ac:dyDescent="0.25">
      <c r="A45" s="168" t="s">
        <v>268</v>
      </c>
      <c r="B45" s="171">
        <f>'INVERSION INICIAL'!E70</f>
        <v>6141.5</v>
      </c>
      <c r="C45" s="171">
        <f>$B$45</f>
        <v>6141.5</v>
      </c>
      <c r="D45" s="171">
        <f t="shared" ref="D45:M45" si="18">$B$45</f>
        <v>6141.5</v>
      </c>
      <c r="E45" s="171">
        <f t="shared" si="18"/>
        <v>6141.5</v>
      </c>
      <c r="F45" s="171">
        <f t="shared" si="18"/>
        <v>6141.5</v>
      </c>
      <c r="G45" s="171">
        <f t="shared" si="18"/>
        <v>6141.5</v>
      </c>
      <c r="H45" s="171">
        <f t="shared" si="18"/>
        <v>6141.5</v>
      </c>
      <c r="I45" s="171">
        <f t="shared" si="18"/>
        <v>6141.5</v>
      </c>
      <c r="J45" s="171">
        <f t="shared" si="18"/>
        <v>6141.5</v>
      </c>
      <c r="K45" s="171">
        <f t="shared" si="18"/>
        <v>6141.5</v>
      </c>
      <c r="L45" s="171">
        <f t="shared" si="18"/>
        <v>6141.5</v>
      </c>
      <c r="M45" s="171">
        <f t="shared" si="18"/>
        <v>6141.5</v>
      </c>
    </row>
    <row r="46" spans="1:17" ht="15.75" thickBot="1" x14ac:dyDescent="0.3">
      <c r="A46" s="169" t="s">
        <v>269</v>
      </c>
      <c r="B46" s="172">
        <f>'INVERSION INICIAL'!E79</f>
        <v>1793.2138245590268</v>
      </c>
      <c r="C46" s="172">
        <f>$B$46</f>
        <v>1793.2138245590268</v>
      </c>
      <c r="D46" s="172">
        <f t="shared" ref="D46:M46" si="19">$B$46</f>
        <v>1793.2138245590268</v>
      </c>
      <c r="E46" s="172">
        <f t="shared" si="19"/>
        <v>1793.2138245590268</v>
      </c>
      <c r="F46" s="172">
        <f t="shared" si="19"/>
        <v>1793.2138245590268</v>
      </c>
      <c r="G46" s="172">
        <f t="shared" si="19"/>
        <v>1793.2138245590268</v>
      </c>
      <c r="H46" s="172">
        <f t="shared" si="19"/>
        <v>1793.2138245590268</v>
      </c>
      <c r="I46" s="172">
        <f t="shared" si="19"/>
        <v>1793.2138245590268</v>
      </c>
      <c r="J46" s="172">
        <f t="shared" si="19"/>
        <v>1793.2138245590268</v>
      </c>
      <c r="K46" s="172">
        <f t="shared" si="19"/>
        <v>1793.2138245590268</v>
      </c>
      <c r="L46" s="172">
        <f t="shared" si="19"/>
        <v>1793.2138245590268</v>
      </c>
      <c r="M46" s="172">
        <f t="shared" si="19"/>
        <v>1793.2138245590268</v>
      </c>
    </row>
    <row r="47" spans="1:17" ht="15.75" thickBot="1" x14ac:dyDescent="0.3">
      <c r="A47" s="170" t="s">
        <v>270</v>
      </c>
      <c r="B47" s="173">
        <f t="shared" ref="B47:M47" si="20">SUM(B43:B46)</f>
        <v>84551.713824559032</v>
      </c>
      <c r="C47" s="173">
        <f t="shared" si="20"/>
        <v>91876.013824559021</v>
      </c>
      <c r="D47" s="173">
        <f t="shared" si="20"/>
        <v>137172.61382455903</v>
      </c>
      <c r="E47" s="173">
        <f t="shared" si="20"/>
        <v>175248.41382455904</v>
      </c>
      <c r="F47" s="173">
        <f t="shared" si="20"/>
        <v>186226.91382455904</v>
      </c>
      <c r="G47" s="173">
        <f t="shared" si="20"/>
        <v>244133.51382455905</v>
      </c>
      <c r="H47" s="173">
        <f t="shared" si="20"/>
        <v>260971.01382455905</v>
      </c>
      <c r="I47" s="173">
        <f t="shared" si="20"/>
        <v>260971.01382455905</v>
      </c>
      <c r="J47" s="173">
        <f t="shared" si="20"/>
        <v>260971.01382455905</v>
      </c>
      <c r="K47" s="173">
        <f t="shared" si="20"/>
        <v>260971.01382455905</v>
      </c>
      <c r="L47" s="173">
        <f t="shared" si="20"/>
        <v>323352.51382455905</v>
      </c>
      <c r="M47" s="173">
        <f t="shared" si="20"/>
        <v>323352.51382455905</v>
      </c>
    </row>
    <row r="48" spans="1:17" ht="15.75" thickTop="1" x14ac:dyDescent="0.25">
      <c r="A48" s="219" t="s">
        <v>327</v>
      </c>
    </row>
  </sheetData>
  <mergeCells count="2">
    <mergeCell ref="A41:M41"/>
    <mergeCell ref="A6:O6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360" verticalDpi="36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4"/>
  <sheetViews>
    <sheetView topLeftCell="A4" workbookViewId="0">
      <selection activeCell="H12" sqref="H12"/>
    </sheetView>
  </sheetViews>
  <sheetFormatPr baseColWidth="10" defaultRowHeight="15" x14ac:dyDescent="0.25"/>
  <cols>
    <col min="3" max="3" width="32.85546875" customWidth="1"/>
    <col min="4" max="4" width="14.85546875" customWidth="1"/>
    <col min="5" max="5" width="14" customWidth="1"/>
    <col min="6" max="6" width="12.85546875" customWidth="1"/>
    <col min="8" max="8" width="13.140625" customWidth="1"/>
  </cols>
  <sheetData>
    <row r="6" spans="2:8" ht="18.75" x14ac:dyDescent="0.3">
      <c r="B6" s="300" t="s">
        <v>295</v>
      </c>
      <c r="C6" s="300"/>
      <c r="D6" s="300"/>
      <c r="E6" s="300"/>
      <c r="F6" s="300"/>
      <c r="G6" s="300"/>
      <c r="H6" s="300"/>
    </row>
    <row r="8" spans="2:8" ht="45" x14ac:dyDescent="0.25">
      <c r="B8" s="110" t="s">
        <v>23</v>
      </c>
      <c r="C8" s="110" t="s">
        <v>289</v>
      </c>
      <c r="D8" s="110" t="s">
        <v>290</v>
      </c>
      <c r="E8" s="110" t="s">
        <v>291</v>
      </c>
      <c r="F8" s="111" t="s">
        <v>292</v>
      </c>
      <c r="G8" s="111" t="s">
        <v>293</v>
      </c>
      <c r="H8" s="111" t="s">
        <v>294</v>
      </c>
    </row>
    <row r="9" spans="2:8" x14ac:dyDescent="0.25">
      <c r="B9" s="2">
        <f>'INVERSION INICIAL'!B10</f>
        <v>7</v>
      </c>
      <c r="C9" s="177" t="str">
        <f>'INVERSION INICIAL'!C10</f>
        <v>Computadoras</v>
      </c>
      <c r="D9" s="10">
        <f>'INVERSION INICIAL'!D10</f>
        <v>1800</v>
      </c>
      <c r="E9" s="15">
        <f>B9*D9</f>
        <v>12600</v>
      </c>
      <c r="F9" s="179">
        <v>0.25</v>
      </c>
      <c r="G9" s="178">
        <v>48</v>
      </c>
      <c r="H9" s="15">
        <f>E9/G9</f>
        <v>262.5</v>
      </c>
    </row>
    <row r="10" spans="2:8" x14ac:dyDescent="0.25">
      <c r="B10" s="2">
        <f>'INVERSION INICIAL'!B11</f>
        <v>7</v>
      </c>
      <c r="C10" s="177" t="str">
        <f>'INVERSION INICIAL'!C11</f>
        <v xml:space="preserve">Impresoras </v>
      </c>
      <c r="D10" s="10">
        <f>'INVERSION INICIAL'!D11</f>
        <v>400</v>
      </c>
      <c r="E10" s="15">
        <f t="shared" ref="E10:E22" si="0">B10*D10</f>
        <v>2800</v>
      </c>
      <c r="F10" s="179">
        <v>0.25</v>
      </c>
      <c r="G10" s="178">
        <v>48</v>
      </c>
      <c r="H10" s="15">
        <f t="shared" ref="H10:H22" si="1">E10/G10</f>
        <v>58.333333333333336</v>
      </c>
    </row>
    <row r="11" spans="2:8" x14ac:dyDescent="0.25">
      <c r="B11" s="2">
        <f>'INVERSION INICIAL'!B12</f>
        <v>2</v>
      </c>
      <c r="C11" s="177" t="str">
        <f>'INVERSION INICIAL'!C12</f>
        <v>Plotter</v>
      </c>
      <c r="D11" s="10">
        <f>'INVERSION INICIAL'!D12</f>
        <v>4000</v>
      </c>
      <c r="E11" s="15">
        <f t="shared" si="0"/>
        <v>8000</v>
      </c>
      <c r="F11" s="179">
        <v>0.25</v>
      </c>
      <c r="G11" s="178">
        <v>48</v>
      </c>
      <c r="H11" s="15">
        <f t="shared" si="1"/>
        <v>166.66666666666666</v>
      </c>
    </row>
    <row r="12" spans="2:8" x14ac:dyDescent="0.25">
      <c r="B12" s="2">
        <f>'INVERSION INICIAL'!B13</f>
        <v>7</v>
      </c>
      <c r="C12" s="177" t="str">
        <f>'INVERSION INICIAL'!C13</f>
        <v>Escritorios Ejecutivos (Corporativo)</v>
      </c>
      <c r="D12" s="10">
        <f>'INVERSION INICIAL'!D13</f>
        <v>400</v>
      </c>
      <c r="E12" s="15">
        <f t="shared" si="0"/>
        <v>2800</v>
      </c>
      <c r="F12" s="179">
        <v>0.25</v>
      </c>
      <c r="G12" s="178">
        <v>48</v>
      </c>
      <c r="H12" s="15">
        <f t="shared" si="1"/>
        <v>58.333333333333336</v>
      </c>
    </row>
    <row r="13" spans="2:8" x14ac:dyDescent="0.25">
      <c r="B13" s="2">
        <f>'INVERSION INICIAL'!B14</f>
        <v>7</v>
      </c>
      <c r="C13" s="177" t="str">
        <f>'INVERSION INICIAL'!C14</f>
        <v>Estantes (Corporativo)</v>
      </c>
      <c r="D13" s="10">
        <f>'INVERSION INICIAL'!D14</f>
        <v>250</v>
      </c>
      <c r="E13" s="15">
        <f t="shared" si="0"/>
        <v>1750</v>
      </c>
      <c r="F13" s="179">
        <v>0.25</v>
      </c>
      <c r="G13" s="178">
        <v>48</v>
      </c>
      <c r="H13" s="15">
        <f t="shared" si="1"/>
        <v>36.458333333333336</v>
      </c>
    </row>
    <row r="14" spans="2:8" x14ac:dyDescent="0.25">
      <c r="B14" s="2">
        <f>'INVERSION INICIAL'!B15</f>
        <v>20</v>
      </c>
      <c r="C14" s="177" t="str">
        <f>'INVERSION INICIAL'!C15</f>
        <v>Sillas Office (Corporativo)</v>
      </c>
      <c r="D14" s="10">
        <f>'INVERSION INICIAL'!D15</f>
        <v>100</v>
      </c>
      <c r="E14" s="15">
        <f t="shared" si="0"/>
        <v>2000</v>
      </c>
      <c r="F14" s="179">
        <v>0.25</v>
      </c>
      <c r="G14" s="178">
        <v>48</v>
      </c>
      <c r="H14" s="15">
        <f t="shared" si="1"/>
        <v>41.666666666666664</v>
      </c>
    </row>
    <row r="15" spans="2:8" x14ac:dyDescent="0.25">
      <c r="B15" s="2">
        <f>'INVERSION INICIAL'!B16</f>
        <v>2</v>
      </c>
      <c r="C15" s="177" t="str">
        <f>'INVERSION INICIAL'!C16</f>
        <v>Sofá (Sala de Espera)</v>
      </c>
      <c r="D15" s="10">
        <f>'INVERSION INICIAL'!D16</f>
        <v>350</v>
      </c>
      <c r="E15" s="15">
        <f t="shared" si="0"/>
        <v>700</v>
      </c>
      <c r="F15" s="179">
        <v>0.25</v>
      </c>
      <c r="G15" s="178">
        <v>48</v>
      </c>
      <c r="H15" s="15">
        <f t="shared" si="1"/>
        <v>14.583333333333334</v>
      </c>
    </row>
    <row r="16" spans="2:8" x14ac:dyDescent="0.25">
      <c r="B16" s="2">
        <f>'INVERSION INICIAL'!B17</f>
        <v>7</v>
      </c>
      <c r="C16" s="177" t="str">
        <f>'INVERSION INICIAL'!C17</f>
        <v>Sillones Ejecutivos Giratorio</v>
      </c>
      <c r="D16" s="10">
        <f>'INVERSION INICIAL'!D17</f>
        <v>200</v>
      </c>
      <c r="E16" s="15">
        <f t="shared" si="0"/>
        <v>1400</v>
      </c>
      <c r="F16" s="179">
        <v>0.25</v>
      </c>
      <c r="G16" s="178">
        <v>48</v>
      </c>
      <c r="H16" s="15">
        <f t="shared" si="1"/>
        <v>29.166666666666668</v>
      </c>
    </row>
    <row r="17" spans="2:8" x14ac:dyDescent="0.25">
      <c r="B17" s="2">
        <f>'INVERSION INICIAL'!B18</f>
        <v>1</v>
      </c>
      <c r="C17" s="177" t="str">
        <f>'INVERSION INICIAL'!C18</f>
        <v>Mesa de Sesión o Juntas</v>
      </c>
      <c r="D17" s="10">
        <f>'INVERSION INICIAL'!D18</f>
        <v>800</v>
      </c>
      <c r="E17" s="15">
        <f t="shared" si="0"/>
        <v>800</v>
      </c>
      <c r="F17" s="179">
        <v>0.25</v>
      </c>
      <c r="G17" s="178">
        <v>48</v>
      </c>
      <c r="H17" s="15">
        <f t="shared" si="1"/>
        <v>16.666666666666668</v>
      </c>
    </row>
    <row r="18" spans="2:8" x14ac:dyDescent="0.25">
      <c r="B18" s="2">
        <f>'INVERSION INICIAL'!B19</f>
        <v>1</v>
      </c>
      <c r="C18" s="177" t="str">
        <f>'INVERSION INICIAL'!C19</f>
        <v>Mesa de Arquitectura</v>
      </c>
      <c r="D18" s="10">
        <f>'INVERSION INICIAL'!D19</f>
        <v>1400</v>
      </c>
      <c r="E18" s="15">
        <f t="shared" si="0"/>
        <v>1400</v>
      </c>
      <c r="F18" s="179">
        <v>0.25</v>
      </c>
      <c r="G18" s="178">
        <v>48</v>
      </c>
      <c r="H18" s="15">
        <f t="shared" si="1"/>
        <v>29.166666666666668</v>
      </c>
    </row>
    <row r="19" spans="2:8" x14ac:dyDescent="0.25">
      <c r="B19" s="2">
        <f>'INVERSION INICIAL'!B20</f>
        <v>2</v>
      </c>
      <c r="C19" s="177" t="str">
        <f>'INVERSION INICIAL'!C20</f>
        <v xml:space="preserve">Camara Fotografica </v>
      </c>
      <c r="D19" s="10">
        <f>'INVERSION INICIAL'!D20</f>
        <v>600</v>
      </c>
      <c r="E19" s="15">
        <f t="shared" si="0"/>
        <v>1200</v>
      </c>
      <c r="F19" s="179">
        <v>0.25</v>
      </c>
      <c r="G19" s="178">
        <v>48</v>
      </c>
      <c r="H19" s="15">
        <f t="shared" si="1"/>
        <v>25</v>
      </c>
    </row>
    <row r="20" spans="2:8" x14ac:dyDescent="0.25">
      <c r="B20" s="2">
        <f>'INVERSION INICIAL'!B21</f>
        <v>1</v>
      </c>
      <c r="C20" s="177" t="str">
        <f>'INVERSION INICIAL'!C21</f>
        <v>Camara Filmadora</v>
      </c>
      <c r="D20" s="10">
        <f>'INVERSION INICIAL'!D21</f>
        <v>1200</v>
      </c>
      <c r="E20" s="15">
        <f t="shared" si="0"/>
        <v>1200</v>
      </c>
      <c r="F20" s="179">
        <v>0.25</v>
      </c>
      <c r="G20" s="178">
        <v>48</v>
      </c>
      <c r="H20" s="15">
        <f t="shared" si="1"/>
        <v>25</v>
      </c>
    </row>
    <row r="21" spans="2:8" x14ac:dyDescent="0.25">
      <c r="B21" s="2">
        <f>'INVERSION INICIAL'!B22</f>
        <v>1</v>
      </c>
      <c r="C21" s="177" t="str">
        <f>'INVERSION INICIAL'!C22</f>
        <v>Enseres de Oficina</v>
      </c>
      <c r="D21" s="10">
        <f>'INVERSION INICIAL'!D22</f>
        <v>800</v>
      </c>
      <c r="E21" s="15">
        <f t="shared" si="0"/>
        <v>800</v>
      </c>
      <c r="F21" s="179">
        <v>0.25</v>
      </c>
      <c r="G21" s="178">
        <v>48</v>
      </c>
      <c r="H21" s="15">
        <f t="shared" si="1"/>
        <v>16.666666666666668</v>
      </c>
    </row>
    <row r="22" spans="2:8" x14ac:dyDescent="0.25">
      <c r="B22" s="2">
        <f>'INVERSION INICIAL'!B23</f>
        <v>2</v>
      </c>
      <c r="C22" s="177" t="str">
        <f>'INVERSION INICIAL'!C23</f>
        <v xml:space="preserve">Extintores </v>
      </c>
      <c r="D22" s="10">
        <f>'INVERSION INICIAL'!D23</f>
        <v>180</v>
      </c>
      <c r="E22" s="15">
        <f t="shared" si="0"/>
        <v>360</v>
      </c>
      <c r="F22" s="179">
        <v>0.25</v>
      </c>
      <c r="G22" s="178">
        <v>48</v>
      </c>
      <c r="H22" s="15">
        <f t="shared" si="1"/>
        <v>7.5</v>
      </c>
    </row>
    <row r="23" spans="2:8" x14ac:dyDescent="0.25">
      <c r="B23" s="267" t="s">
        <v>296</v>
      </c>
      <c r="C23" s="267"/>
      <c r="D23" s="267"/>
      <c r="E23" s="267"/>
      <c r="F23" s="267"/>
      <c r="G23" s="267"/>
      <c r="H23" s="180">
        <f>SUM(H9:H22)</f>
        <v>787.70833333333326</v>
      </c>
    </row>
    <row r="24" spans="2:8" x14ac:dyDescent="0.25">
      <c r="B24" t="s">
        <v>325</v>
      </c>
      <c r="C24" t="s">
        <v>328</v>
      </c>
    </row>
  </sheetData>
  <mergeCells count="2">
    <mergeCell ref="B6:H6"/>
    <mergeCell ref="B23:G23"/>
  </mergeCells>
  <pageMargins left="0.70866141732283472" right="0.70866141732283472" top="0.74803149606299213" bottom="0.74803149606299213" header="0.31496062992125984" footer="0.31496062992125984"/>
  <pageSetup scale="9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INVERSION INICIAL</vt:lpstr>
      <vt:lpstr>RRHH</vt:lpstr>
      <vt:lpstr>AMORTIZACION DE PRESTAMO</vt:lpstr>
      <vt:lpstr>COSTO VARIABLE UNITARIO</vt:lpstr>
      <vt:lpstr>PUNTO DE EQUILIBRIO</vt:lpstr>
      <vt:lpstr>GRAFICA PUNTO DE EQUILIBRIO</vt:lpstr>
      <vt:lpstr>PROYECCIÓN DE VENTAS</vt:lpstr>
      <vt:lpstr>PRESUPUESTO DE GASTOS</vt:lpstr>
      <vt:lpstr>Depreciación</vt:lpstr>
      <vt:lpstr>EE.GG.PP.</vt:lpstr>
      <vt:lpstr>FLUJO DE CAJA EE.FF.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MORALES</dc:creator>
  <cp:lastModifiedBy>JOSE LUIS MORALES</cp:lastModifiedBy>
  <cp:lastPrinted>2016-12-21T08:07:12Z</cp:lastPrinted>
  <dcterms:created xsi:type="dcterms:W3CDTF">2016-12-11T22:24:26Z</dcterms:created>
  <dcterms:modified xsi:type="dcterms:W3CDTF">2017-01-06T01:36:15Z</dcterms:modified>
</cp:coreProperties>
</file>