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embeddings/oleObject1.bin" ContentType="application/vnd.openxmlformats-officedocument.oleObject"/>
  <Override PartName="/xl/drawings/drawing5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6.xml" ContentType="application/vnd.openxmlformats-officedocument.drawing+xml"/>
  <Override PartName="/xl/embeddings/oleObject4.bin" ContentType="application/vnd.openxmlformats-officedocument.oleObject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8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nny Jimenez\Desktop\plan de negocio Rony JImenes\"/>
    </mc:Choice>
  </mc:AlternateContent>
  <bookViews>
    <workbookView xWindow="0" yWindow="0" windowWidth="20490" windowHeight="7455"/>
  </bookViews>
  <sheets>
    <sheet name="INDICE" sheetId="1" r:id="rId1"/>
    <sheet name="ORGANIGRAMA" sheetId="2" r:id="rId2"/>
    <sheet name="CROQUIS" sheetId="3" r:id="rId3"/>
    <sheet name="LOCALIZACION" sheetId="4" r:id="rId4"/>
    <sheet name="MUESTRA" sheetId="5" r:id="rId5"/>
    <sheet name="INVERSION TOTAL" sheetId="6" r:id="rId6"/>
    <sheet name="COSTO DE PRODUCCION" sheetId="22" r:id="rId7"/>
    <sheet name="FINANCIAMIENTO" sheetId="7" r:id="rId8"/>
    <sheet name="AMORTIZACION" sheetId="23" r:id="rId9"/>
    <sheet name="INGRESOS POR VENTA" sheetId="9" r:id="rId10"/>
    <sheet name="PLANILLA" sheetId="24" r:id="rId11"/>
    <sheet name="GASTOS INDIRECTOS" sheetId="11" r:id="rId12"/>
    <sheet name="DEPRECIACION DE EQUIPOS" sheetId="12" r:id="rId13"/>
    <sheet name="PRESUPUESTO DE GASTOS" sheetId="14" r:id="rId14"/>
    <sheet name="ESTADO DE GANANCIAS Y PERDIDAS" sheetId="13" r:id="rId15"/>
    <sheet name="BALANCE GENERAL" sheetId="15" r:id="rId16"/>
    <sheet name="FLUJO DE CAJA ECON FINAN" sheetId="16" r:id="rId17"/>
    <sheet name="EVALUACION COSTO BENEFICIO" sheetId="17" r:id="rId18"/>
    <sheet name="PUNTO DE EQUILIBRIO" sheetId="18" r:id="rId19"/>
    <sheet name="PRINCIPALES RATIOS" sheetId="19" r:id="rId20"/>
    <sheet name="CUADRO DE RATIOS" sheetId="20" r:id="rId21"/>
    <sheet name="ENCUESTA" sheetId="21" r:id="rId22"/>
    <sheet name="ENCUESTA1" sheetId="26" r:id="rId23"/>
  </sheets>
  <externalReferences>
    <externalReference r:id="rId24"/>
    <externalReference r:id="rId2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24" l="1"/>
  <c r="F58" i="16" l="1"/>
  <c r="B19" i="13"/>
  <c r="B15" i="13"/>
  <c r="G15" i="4" l="1"/>
  <c r="E15" i="4"/>
  <c r="B12" i="23" l="1"/>
  <c r="K5" i="24" l="1"/>
  <c r="C5" i="21" l="1"/>
  <c r="C27" i="24" l="1"/>
  <c r="K19" i="24"/>
  <c r="K20" i="24" s="1"/>
  <c r="J19" i="24" l="1"/>
  <c r="H19" i="24"/>
  <c r="D19" i="24"/>
  <c r="D5" i="24"/>
  <c r="C10" i="24"/>
  <c r="J7" i="24"/>
  <c r="K7" i="24" s="1"/>
  <c r="J6" i="24"/>
  <c r="J5" i="24"/>
  <c r="D9" i="24"/>
  <c r="I9" i="24" s="1"/>
  <c r="D8" i="24"/>
  <c r="H8" i="24" s="1"/>
  <c r="D7" i="24"/>
  <c r="I7" i="24" s="1"/>
  <c r="D6" i="24"/>
  <c r="I6" i="24" s="1"/>
  <c r="J9" i="24"/>
  <c r="K9" i="24" s="1"/>
  <c r="J8" i="24"/>
  <c r="C20" i="24"/>
  <c r="I19" i="24"/>
  <c r="H5" i="24" l="1"/>
  <c r="I5" i="24"/>
  <c r="H9" i="24"/>
  <c r="I8" i="24"/>
  <c r="I10" i="24" s="1"/>
  <c r="J10" i="24"/>
  <c r="K6" i="24"/>
  <c r="K10" i="24" s="1"/>
  <c r="D10" i="24"/>
  <c r="L19" i="24"/>
  <c r="L20" i="24" s="1"/>
  <c r="H7" i="24"/>
  <c r="H6" i="24"/>
  <c r="L6" i="24"/>
  <c r="L8" i="24"/>
  <c r="E69" i="6"/>
  <c r="E70" i="6"/>
  <c r="H10" i="24" l="1"/>
  <c r="K24" i="24"/>
  <c r="C26" i="24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7" i="18"/>
  <c r="E6" i="18"/>
  <c r="D8" i="18"/>
  <c r="F8" i="18" s="1"/>
  <c r="D9" i="18"/>
  <c r="F9" i="18" s="1"/>
  <c r="D10" i="18"/>
  <c r="F10" i="18" s="1"/>
  <c r="D11" i="18"/>
  <c r="D12" i="18"/>
  <c r="F12" i="18" s="1"/>
  <c r="D13" i="18"/>
  <c r="F13" i="18" s="1"/>
  <c r="D14" i="18"/>
  <c r="F14" i="18" s="1"/>
  <c r="D15" i="18"/>
  <c r="F15" i="18" s="1"/>
  <c r="D16" i="18"/>
  <c r="F16" i="18" s="1"/>
  <c r="D17" i="18"/>
  <c r="F17" i="18" s="1"/>
  <c r="D18" i="18"/>
  <c r="F18" i="18" s="1"/>
  <c r="D19" i="18"/>
  <c r="F19" i="18" s="1"/>
  <c r="D20" i="18"/>
  <c r="F20" i="18" s="1"/>
  <c r="D21" i="18"/>
  <c r="F21" i="18" s="1"/>
  <c r="D22" i="18"/>
  <c r="F22" i="18" s="1"/>
  <c r="D7" i="18"/>
  <c r="F7" i="18" s="1"/>
  <c r="D6" i="18"/>
  <c r="F6" i="18" s="1"/>
  <c r="A20" i="18"/>
  <c r="A21" i="18"/>
  <c r="A22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6" i="18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W50" i="22"/>
  <c r="B11" i="13"/>
  <c r="C11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X11" i="13"/>
  <c r="Y11" i="13"/>
  <c r="B12" i="13"/>
  <c r="E13" i="11"/>
  <c r="T10" i="22"/>
  <c r="Y23" i="14"/>
  <c r="Y21" i="14"/>
  <c r="T23" i="14"/>
  <c r="T21" i="14"/>
  <c r="N23" i="14"/>
  <c r="N21" i="14"/>
  <c r="M21" i="14"/>
  <c r="M22" i="14"/>
  <c r="M23" i="14"/>
  <c r="L22" i="14"/>
  <c r="L23" i="14"/>
  <c r="H23" i="14"/>
  <c r="H21" i="14"/>
  <c r="C21" i="14"/>
  <c r="C22" i="14"/>
  <c r="C23" i="14"/>
  <c r="D21" i="14"/>
  <c r="E21" i="14"/>
  <c r="F21" i="14"/>
  <c r="G21" i="14"/>
  <c r="I21" i="14"/>
  <c r="J21" i="14"/>
  <c r="K21" i="14"/>
  <c r="L21" i="14"/>
  <c r="O21" i="14"/>
  <c r="P21" i="14"/>
  <c r="Q21" i="14"/>
  <c r="R21" i="14"/>
  <c r="S21" i="14"/>
  <c r="U21" i="14"/>
  <c r="V21" i="14"/>
  <c r="W21" i="14"/>
  <c r="X21" i="14"/>
  <c r="D22" i="14"/>
  <c r="E22" i="14"/>
  <c r="F22" i="14"/>
  <c r="G22" i="14"/>
  <c r="I22" i="14"/>
  <c r="J22" i="14"/>
  <c r="K22" i="14"/>
  <c r="O22" i="14"/>
  <c r="P22" i="14"/>
  <c r="Q22" i="14"/>
  <c r="R22" i="14"/>
  <c r="S22" i="14"/>
  <c r="U22" i="14"/>
  <c r="V22" i="14"/>
  <c r="W22" i="14"/>
  <c r="X22" i="14"/>
  <c r="D23" i="14"/>
  <c r="E23" i="14"/>
  <c r="F23" i="14"/>
  <c r="G23" i="14"/>
  <c r="I23" i="14"/>
  <c r="J23" i="14"/>
  <c r="K23" i="14"/>
  <c r="O23" i="14"/>
  <c r="P23" i="14"/>
  <c r="Q23" i="14"/>
  <c r="R23" i="14"/>
  <c r="S23" i="14"/>
  <c r="U23" i="14"/>
  <c r="V23" i="14"/>
  <c r="W23" i="14"/>
  <c r="X23" i="14"/>
  <c r="B21" i="14"/>
  <c r="E7" i="12"/>
  <c r="W59" i="22"/>
  <c r="B50" i="6"/>
  <c r="D23" i="18" l="1"/>
  <c r="F11" i="18"/>
  <c r="B11" i="14"/>
  <c r="C28" i="24"/>
  <c r="L7" i="24"/>
  <c r="L9" i="24"/>
  <c r="L5" i="24"/>
  <c r="E23" i="18"/>
  <c r="B68" i="6" l="1"/>
  <c r="E68" i="6" s="1"/>
  <c r="B27" i="14"/>
  <c r="F23" i="18"/>
  <c r="L10" i="24" l="1"/>
  <c r="E11" i="6"/>
  <c r="E12" i="6"/>
  <c r="B53" i="6"/>
  <c r="B55" i="6"/>
  <c r="B56" i="6"/>
  <c r="B58" i="6"/>
  <c r="B60" i="6"/>
  <c r="B62" i="6"/>
  <c r="B64" i="6"/>
  <c r="B65" i="6"/>
  <c r="D31" i="9"/>
  <c r="D32" i="9"/>
  <c r="D33" i="9"/>
  <c r="D34" i="9"/>
  <c r="E34" i="9" s="1"/>
  <c r="D35" i="9"/>
  <c r="D36" i="9"/>
  <c r="D37" i="9"/>
  <c r="D38" i="9"/>
  <c r="E38" i="9" s="1"/>
  <c r="D39" i="9"/>
  <c r="E39" i="9" s="1"/>
  <c r="D40" i="9"/>
  <c r="E40" i="9" s="1"/>
  <c r="D41" i="9"/>
  <c r="D42" i="9"/>
  <c r="E42" i="9" s="1"/>
  <c r="D43" i="9"/>
  <c r="E43" i="9" s="1"/>
  <c r="D44" i="9"/>
  <c r="E44" i="9" s="1"/>
  <c r="D45" i="9"/>
  <c r="E45" i="9" s="1"/>
  <c r="D30" i="9"/>
  <c r="E30" i="9" s="1"/>
  <c r="E31" i="9"/>
  <c r="E32" i="9"/>
  <c r="E33" i="9"/>
  <c r="E35" i="9"/>
  <c r="E36" i="9"/>
  <c r="E37" i="9"/>
  <c r="E41" i="9"/>
  <c r="D24" i="9"/>
  <c r="C65" i="6"/>
  <c r="B21" i="18" s="1"/>
  <c r="C66" i="6"/>
  <c r="B22" i="18" s="1"/>
  <c r="X65" i="22"/>
  <c r="X66" i="22"/>
  <c r="V50" i="22"/>
  <c r="W66" i="22"/>
  <c r="V66" i="22"/>
  <c r="U66" i="22"/>
  <c r="W65" i="22"/>
  <c r="V65" i="22"/>
  <c r="U65" i="22"/>
  <c r="U64" i="22"/>
  <c r="W64" i="22" s="1"/>
  <c r="U63" i="22"/>
  <c r="W63" i="22" s="1"/>
  <c r="V62" i="22"/>
  <c r="U62" i="22"/>
  <c r="W62" i="22" s="1"/>
  <c r="U61" i="22"/>
  <c r="W61" i="22" s="1"/>
  <c r="U60" i="22"/>
  <c r="V60" i="22" s="1"/>
  <c r="U59" i="22"/>
  <c r="U58" i="22"/>
  <c r="W58" i="22" s="1"/>
  <c r="U57" i="22"/>
  <c r="W57" i="22" s="1"/>
  <c r="C57" i="6" s="1"/>
  <c r="B13" i="18" s="1"/>
  <c r="U56" i="22"/>
  <c r="V56" i="22" s="1"/>
  <c r="U55" i="22"/>
  <c r="W55" i="22" s="1"/>
  <c r="U54" i="22"/>
  <c r="W54" i="22" s="1"/>
  <c r="U53" i="22"/>
  <c r="W53" i="22" s="1"/>
  <c r="U52" i="22"/>
  <c r="W52" i="22" s="1"/>
  <c r="C52" i="6" s="1"/>
  <c r="B8" i="18" s="1"/>
  <c r="U51" i="22"/>
  <c r="U50" i="22"/>
  <c r="C50" i="6" s="1"/>
  <c r="E50" i="6" l="1"/>
  <c r="B6" i="18"/>
  <c r="C62" i="6"/>
  <c r="B18" i="18" s="1"/>
  <c r="X62" i="22"/>
  <c r="V51" i="22"/>
  <c r="W51" i="22"/>
  <c r="E62" i="6"/>
  <c r="E65" i="6"/>
  <c r="V52" i="22"/>
  <c r="V53" i="22"/>
  <c r="V55" i="22"/>
  <c r="W56" i="22"/>
  <c r="C56" i="6" s="1"/>
  <c r="V57" i="22"/>
  <c r="V61" i="22"/>
  <c r="V63" i="22"/>
  <c r="C64" i="6"/>
  <c r="X64" i="22"/>
  <c r="V64" i="22"/>
  <c r="C63" i="6"/>
  <c r="B19" i="18" s="1"/>
  <c r="C61" i="6"/>
  <c r="B17" i="18" s="1"/>
  <c r="W60" i="22"/>
  <c r="C59" i="6"/>
  <c r="B15" i="18" s="1"/>
  <c r="V59" i="22"/>
  <c r="C58" i="6"/>
  <c r="X58" i="22"/>
  <c r="V58" i="22"/>
  <c r="C55" i="6"/>
  <c r="X55" i="22"/>
  <c r="C54" i="6"/>
  <c r="B10" i="18" s="1"/>
  <c r="V54" i="22"/>
  <c r="X53" i="22"/>
  <c r="C53" i="6"/>
  <c r="C51" i="6"/>
  <c r="B7" i="18" s="1"/>
  <c r="X50" i="22"/>
  <c r="F42" i="9"/>
  <c r="E53" i="6" l="1"/>
  <c r="B9" i="18"/>
  <c r="E64" i="6"/>
  <c r="B20" i="18"/>
  <c r="E58" i="6"/>
  <c r="B14" i="18"/>
  <c r="E56" i="6"/>
  <c r="B12" i="18"/>
  <c r="E55" i="6"/>
  <c r="B11" i="18"/>
  <c r="X56" i="22"/>
  <c r="X60" i="22"/>
  <c r="C60" i="6"/>
  <c r="E60" i="6" l="1"/>
  <c r="B16" i="18"/>
  <c r="B23" i="18"/>
  <c r="D7" i="7"/>
  <c r="U41" i="22"/>
  <c r="U32" i="22"/>
  <c r="T44" i="22"/>
  <c r="T43" i="22"/>
  <c r="T41" i="22"/>
  <c r="T39" i="22"/>
  <c r="T37" i="22"/>
  <c r="T35" i="22"/>
  <c r="T34" i="22"/>
  <c r="T32" i="22"/>
  <c r="Y45" i="22"/>
  <c r="AA45" i="22" s="1"/>
  <c r="Y44" i="22"/>
  <c r="AA44" i="22" s="1"/>
  <c r="U44" i="22"/>
  <c r="W44" i="22" s="1"/>
  <c r="Y43" i="22"/>
  <c r="AA43" i="22" s="1"/>
  <c r="U43" i="22"/>
  <c r="W43" i="22" s="1"/>
  <c r="AA42" i="22"/>
  <c r="Y42" i="22"/>
  <c r="Y41" i="22"/>
  <c r="AA41" i="22" s="1"/>
  <c r="W41" i="22"/>
  <c r="Y40" i="22"/>
  <c r="AA40" i="22" s="1"/>
  <c r="Y39" i="22"/>
  <c r="AA39" i="22" s="1"/>
  <c r="U39" i="22"/>
  <c r="W39" i="22" s="1"/>
  <c r="AA38" i="22"/>
  <c r="Y38" i="22"/>
  <c r="AA37" i="22"/>
  <c r="Y37" i="22"/>
  <c r="U37" i="22"/>
  <c r="W37" i="22" s="1"/>
  <c r="Y36" i="22"/>
  <c r="AA36" i="22" s="1"/>
  <c r="Y35" i="22"/>
  <c r="AA35" i="22" s="1"/>
  <c r="U35" i="22"/>
  <c r="W35" i="22" s="1"/>
  <c r="AA34" i="22"/>
  <c r="Y34" i="22"/>
  <c r="U34" i="22"/>
  <c r="W34" i="22" s="1"/>
  <c r="AA33" i="22"/>
  <c r="Y33" i="22"/>
  <c r="Y32" i="22"/>
  <c r="AA32" i="22" s="1"/>
  <c r="W32" i="22"/>
  <c r="Y31" i="22"/>
  <c r="AA31" i="22" s="1"/>
  <c r="AA30" i="22"/>
  <c r="Y30" i="22"/>
  <c r="AA29" i="22"/>
  <c r="Y29" i="22"/>
  <c r="U22" i="22"/>
  <c r="U21" i="22"/>
  <c r="U19" i="22"/>
  <c r="U17" i="22"/>
  <c r="T22" i="22"/>
  <c r="T21" i="22"/>
  <c r="T19" i="22"/>
  <c r="T17" i="22"/>
  <c r="T15" i="22"/>
  <c r="L51" i="22"/>
  <c r="T18" i="22" s="1"/>
  <c r="U18" i="22" s="1"/>
  <c r="L43" i="22"/>
  <c r="L37" i="22"/>
  <c r="T38" i="22" s="1"/>
  <c r="L28" i="22"/>
  <c r="T13" i="22"/>
  <c r="T12" i="22"/>
  <c r="V7" i="22"/>
  <c r="P33" i="22"/>
  <c r="T23" i="22" s="1"/>
  <c r="U23" i="22" s="1"/>
  <c r="P27" i="22"/>
  <c r="P21" i="22"/>
  <c r="P14" i="22"/>
  <c r="T42" i="22" s="1"/>
  <c r="P7" i="22"/>
  <c r="L18" i="22"/>
  <c r="T36" i="22" s="1"/>
  <c r="L9" i="22"/>
  <c r="H45" i="22"/>
  <c r="H36" i="22"/>
  <c r="T33" i="22" s="1"/>
  <c r="H27" i="22"/>
  <c r="H21" i="22"/>
  <c r="T31" i="22" s="1"/>
  <c r="H15" i="22"/>
  <c r="T8" i="22" s="1"/>
  <c r="H5" i="22"/>
  <c r="H6" i="22" s="1"/>
  <c r="B25" i="18" l="1"/>
  <c r="T14" i="22"/>
  <c r="B57" i="6"/>
  <c r="E57" i="6" s="1"/>
  <c r="X57" i="22"/>
  <c r="U36" i="22"/>
  <c r="W36" i="22" s="1"/>
  <c r="B63" i="6"/>
  <c r="E63" i="6" s="1"/>
  <c r="X63" i="22"/>
  <c r="U42" i="22"/>
  <c r="W42" i="22" s="1"/>
  <c r="T20" i="22"/>
  <c r="U20" i="22" s="1"/>
  <c r="T45" i="22"/>
  <c r="U38" i="22"/>
  <c r="W38" i="22" s="1"/>
  <c r="B59" i="6"/>
  <c r="E59" i="6" s="1"/>
  <c r="X59" i="22"/>
  <c r="T16" i="22"/>
  <c r="T40" i="22"/>
  <c r="B54" i="6"/>
  <c r="E54" i="6" s="1"/>
  <c r="X54" i="22"/>
  <c r="U33" i="22"/>
  <c r="W33" i="22" s="1"/>
  <c r="T11" i="22"/>
  <c r="T30" i="22"/>
  <c r="T9" i="22"/>
  <c r="B52" i="6"/>
  <c r="E52" i="6" s="1"/>
  <c r="X52" i="22"/>
  <c r="U31" i="22"/>
  <c r="W31" i="22" s="1"/>
  <c r="C8" i="18" l="1"/>
  <c r="C7" i="18"/>
  <c r="C6" i="18"/>
  <c r="C9" i="18"/>
  <c r="C13" i="18"/>
  <c r="G13" i="18" s="1"/>
  <c r="G8" i="18"/>
  <c r="C22" i="18"/>
  <c r="G22" i="18" s="1"/>
  <c r="C21" i="18"/>
  <c r="G21" i="18" s="1"/>
  <c r="C17" i="18"/>
  <c r="G17" i="18" s="1"/>
  <c r="G7" i="18"/>
  <c r="C19" i="18"/>
  <c r="G19" i="18" s="1"/>
  <c r="C18" i="18"/>
  <c r="G18" i="18" s="1"/>
  <c r="C15" i="18"/>
  <c r="G15" i="18" s="1"/>
  <c r="C10" i="18"/>
  <c r="G10" i="18" s="1"/>
  <c r="G9" i="18"/>
  <c r="C12" i="18"/>
  <c r="G12" i="18" s="1"/>
  <c r="C11" i="18"/>
  <c r="G11" i="18" s="1"/>
  <c r="C20" i="18"/>
  <c r="G20" i="18" s="1"/>
  <c r="C14" i="18"/>
  <c r="G14" i="18" s="1"/>
  <c r="C16" i="18"/>
  <c r="G16" i="18" s="1"/>
  <c r="B66" i="6"/>
  <c r="E66" i="6" s="1"/>
  <c r="U45" i="22"/>
  <c r="W45" i="22" s="1"/>
  <c r="B61" i="6"/>
  <c r="E61" i="6" s="1"/>
  <c r="X61" i="22"/>
  <c r="U40" i="22"/>
  <c r="W40" i="22" s="1"/>
  <c r="B51" i="6"/>
  <c r="E51" i="6" s="1"/>
  <c r="X51" i="22"/>
  <c r="U30" i="22"/>
  <c r="W30" i="22" s="1"/>
  <c r="B14" i="16"/>
  <c r="A48" i="23"/>
  <c r="A49" i="23" s="1"/>
  <c r="A50" i="23" s="1"/>
  <c r="A51" i="23" s="1"/>
  <c r="A52" i="23" s="1"/>
  <c r="A53" i="23" s="1"/>
  <c r="A54" i="23" s="1"/>
  <c r="A55" i="23" s="1"/>
  <c r="A56" i="23" s="1"/>
  <c r="B46" i="23"/>
  <c r="A22" i="23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20" i="23"/>
  <c r="A21" i="23" s="1"/>
  <c r="B18" i="23"/>
  <c r="B11" i="23"/>
  <c r="B10" i="23"/>
  <c r="B13" i="23" s="1"/>
  <c r="E49" i="6" l="1"/>
  <c r="G6" i="18"/>
  <c r="C23" i="18"/>
  <c r="X67" i="22"/>
  <c r="E55" i="23"/>
  <c r="G55" i="23" s="1"/>
  <c r="E53" i="23"/>
  <c r="G53" i="23" s="1"/>
  <c r="E51" i="23"/>
  <c r="G51" i="23" s="1"/>
  <c r="E49" i="23"/>
  <c r="G49" i="23" s="1"/>
  <c r="E47" i="23"/>
  <c r="G47" i="23" s="1"/>
  <c r="E41" i="23"/>
  <c r="E37" i="23"/>
  <c r="E33" i="23"/>
  <c r="E29" i="23"/>
  <c r="E25" i="23"/>
  <c r="E21" i="23"/>
  <c r="E54" i="23"/>
  <c r="G54" i="23" s="1"/>
  <c r="E50" i="23"/>
  <c r="G50" i="23" s="1"/>
  <c r="E39" i="23"/>
  <c r="E31" i="23"/>
  <c r="E19" i="23"/>
  <c r="E42" i="23"/>
  <c r="E34" i="23"/>
  <c r="E46" i="23"/>
  <c r="G46" i="23" s="1"/>
  <c r="C47" i="23" s="1"/>
  <c r="E40" i="23"/>
  <c r="E36" i="23"/>
  <c r="E32" i="23"/>
  <c r="E28" i="23"/>
  <c r="E24" i="23"/>
  <c r="E20" i="23"/>
  <c r="E52" i="23"/>
  <c r="G52" i="23" s="1"/>
  <c r="E48" i="23"/>
  <c r="G48" i="23" s="1"/>
  <c r="E35" i="23"/>
  <c r="E27" i="23"/>
  <c r="E23" i="23"/>
  <c r="E18" i="23"/>
  <c r="C19" i="23" s="1"/>
  <c r="B19" i="23" s="1"/>
  <c r="E38" i="23"/>
  <c r="E22" i="23"/>
  <c r="E26" i="23"/>
  <c r="E30" i="23"/>
  <c r="C15" i="14"/>
  <c r="D15" i="14" s="1"/>
  <c r="E15" i="14" s="1"/>
  <c r="J24" i="19"/>
  <c r="I24" i="19"/>
  <c r="H24" i="19"/>
  <c r="G24" i="19"/>
  <c r="F24" i="19"/>
  <c r="E24" i="19"/>
  <c r="D24" i="19"/>
  <c r="C24" i="19"/>
  <c r="D28" i="17"/>
  <c r="D55" i="16" s="1"/>
  <c r="D27" i="17"/>
  <c r="D54" i="16" s="1"/>
  <c r="D26" i="17"/>
  <c r="D53" i="16" s="1"/>
  <c r="D25" i="17"/>
  <c r="D52" i="16" s="1"/>
  <c r="D24" i="17"/>
  <c r="D51" i="16" s="1"/>
  <c r="D23" i="17"/>
  <c r="D50" i="16" s="1"/>
  <c r="D22" i="17"/>
  <c r="D49" i="16" s="1"/>
  <c r="D21" i="17"/>
  <c r="D48" i="16" s="1"/>
  <c r="D20" i="17"/>
  <c r="D47" i="16" s="1"/>
  <c r="D19" i="17"/>
  <c r="D46" i="16" s="1"/>
  <c r="D18" i="17"/>
  <c r="D45" i="16" s="1"/>
  <c r="D17" i="17"/>
  <c r="D44" i="16" s="1"/>
  <c r="D16" i="17"/>
  <c r="D43" i="16" s="1"/>
  <c r="D15" i="17"/>
  <c r="D42" i="16" s="1"/>
  <c r="D14" i="17"/>
  <c r="D41" i="16" s="1"/>
  <c r="D13" i="17"/>
  <c r="D40" i="16" s="1"/>
  <c r="D12" i="17"/>
  <c r="D39" i="16" s="1"/>
  <c r="D11" i="17"/>
  <c r="D38" i="16" s="1"/>
  <c r="D10" i="17"/>
  <c r="D37" i="16" s="1"/>
  <c r="D9" i="17"/>
  <c r="D36" i="16" s="1"/>
  <c r="D8" i="17"/>
  <c r="D35" i="16" s="1"/>
  <c r="D7" i="17"/>
  <c r="D34" i="16" s="1"/>
  <c r="D6" i="17"/>
  <c r="D33" i="16" s="1"/>
  <c r="D5" i="17"/>
  <c r="D32" i="16" s="1"/>
  <c r="D4" i="17"/>
  <c r="K29" i="15"/>
  <c r="J29" i="15"/>
  <c r="I29" i="15"/>
  <c r="H29" i="15"/>
  <c r="G29" i="15"/>
  <c r="F29" i="15"/>
  <c r="E29" i="15"/>
  <c r="E42" i="12"/>
  <c r="G42" i="12" s="1"/>
  <c r="E41" i="12"/>
  <c r="G41" i="12" s="1"/>
  <c r="E40" i="12"/>
  <c r="G40" i="12" s="1"/>
  <c r="E39" i="12"/>
  <c r="G39" i="12" s="1"/>
  <c r="E38" i="12"/>
  <c r="G38" i="12" s="1"/>
  <c r="E37" i="12"/>
  <c r="G37" i="12" s="1"/>
  <c r="E36" i="12"/>
  <c r="G36" i="12" s="1"/>
  <c r="E35" i="12"/>
  <c r="G35" i="12" s="1"/>
  <c r="E34" i="12"/>
  <c r="G34" i="12" s="1"/>
  <c r="E33" i="12"/>
  <c r="G33" i="12" s="1"/>
  <c r="E32" i="12"/>
  <c r="G32" i="12" s="1"/>
  <c r="E31" i="12"/>
  <c r="G31" i="12" s="1"/>
  <c r="E28" i="12"/>
  <c r="G28" i="12" s="1"/>
  <c r="E27" i="12"/>
  <c r="G27" i="12" s="1"/>
  <c r="E26" i="12"/>
  <c r="G26" i="12" s="1"/>
  <c r="E24" i="12"/>
  <c r="G24" i="12" s="1"/>
  <c r="E23" i="12"/>
  <c r="G23" i="12" s="1"/>
  <c r="E22" i="12"/>
  <c r="G22" i="12" s="1"/>
  <c r="E21" i="12"/>
  <c r="G21" i="12" s="1"/>
  <c r="E20" i="12"/>
  <c r="G20" i="12" s="1"/>
  <c r="E19" i="12"/>
  <c r="G19" i="12" s="1"/>
  <c r="E18" i="12"/>
  <c r="G18" i="12" s="1"/>
  <c r="E17" i="12"/>
  <c r="G17" i="12" s="1"/>
  <c r="E16" i="12"/>
  <c r="G16" i="12" s="1"/>
  <c r="E15" i="12"/>
  <c r="G15" i="12" s="1"/>
  <c r="E14" i="12"/>
  <c r="G14" i="12" s="1"/>
  <c r="E13" i="12"/>
  <c r="G13" i="12" s="1"/>
  <c r="E11" i="12"/>
  <c r="G11" i="12" s="1"/>
  <c r="E10" i="12"/>
  <c r="G10" i="12" s="1"/>
  <c r="E9" i="12"/>
  <c r="G9" i="12" s="1"/>
  <c r="E8" i="12"/>
  <c r="G8" i="12" s="1"/>
  <c r="G7" i="12"/>
  <c r="E14" i="11"/>
  <c r="B24" i="14" s="1"/>
  <c r="B23" i="14"/>
  <c r="E12" i="11"/>
  <c r="E11" i="11"/>
  <c r="E9" i="11"/>
  <c r="E8" i="11"/>
  <c r="E7" i="11"/>
  <c r="E6" i="11"/>
  <c r="B16" i="14" s="1"/>
  <c r="P42" i="9"/>
  <c r="V38" i="9"/>
  <c r="O36" i="9"/>
  <c r="P33" i="9"/>
  <c r="V31" i="9"/>
  <c r="D29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B41" i="9"/>
  <c r="Y41" i="9"/>
  <c r="W41" i="9"/>
  <c r="T41" i="9"/>
  <c r="Q41" i="9"/>
  <c r="O41" i="9"/>
  <c r="L41" i="9"/>
  <c r="I41" i="9"/>
  <c r="G41" i="9"/>
  <c r="S36" i="9"/>
  <c r="E4" i="17" l="1"/>
  <c r="D31" i="16"/>
  <c r="V29" i="9"/>
  <c r="E29" i="9"/>
  <c r="B47" i="23"/>
  <c r="C48" i="23" s="1"/>
  <c r="C15" i="16"/>
  <c r="C25" i="18"/>
  <c r="G23" i="18"/>
  <c r="G25" i="18" s="1"/>
  <c r="N22" i="14"/>
  <c r="H22" i="14"/>
  <c r="T22" i="14"/>
  <c r="Y22" i="14"/>
  <c r="E10" i="11"/>
  <c r="E15" i="11" s="1"/>
  <c r="B22" i="14"/>
  <c r="B20" i="14" s="1"/>
  <c r="H41" i="9"/>
  <c r="M41" i="9"/>
  <c r="S41" i="9"/>
  <c r="X41" i="9"/>
  <c r="K41" i="9"/>
  <c r="P41" i="9"/>
  <c r="U41" i="9"/>
  <c r="AA41" i="9"/>
  <c r="F41" i="9"/>
  <c r="J41" i="9"/>
  <c r="N41" i="9"/>
  <c r="R41" i="9"/>
  <c r="V41" i="9"/>
  <c r="Z41" i="9"/>
  <c r="T32" i="9"/>
  <c r="R37" i="9"/>
  <c r="X32" i="9"/>
  <c r="V37" i="9"/>
  <c r="L32" i="9"/>
  <c r="AB32" i="9"/>
  <c r="J37" i="9"/>
  <c r="Z37" i="9"/>
  <c r="H32" i="9"/>
  <c r="F37" i="9"/>
  <c r="P32" i="9"/>
  <c r="N37" i="9"/>
  <c r="J38" i="9"/>
  <c r="I32" i="9"/>
  <c r="M32" i="9"/>
  <c r="Q32" i="9"/>
  <c r="U32" i="9"/>
  <c r="Y32" i="9"/>
  <c r="G37" i="9"/>
  <c r="K37" i="9"/>
  <c r="O37" i="9"/>
  <c r="S37" i="9"/>
  <c r="W37" i="9"/>
  <c r="AA37" i="9"/>
  <c r="J32" i="9"/>
  <c r="N32" i="9"/>
  <c r="R32" i="9"/>
  <c r="V32" i="9"/>
  <c r="Z32" i="9"/>
  <c r="H37" i="9"/>
  <c r="L37" i="9"/>
  <c r="P37" i="9"/>
  <c r="T37" i="9"/>
  <c r="X37" i="9"/>
  <c r="AB37" i="9"/>
  <c r="F32" i="9"/>
  <c r="G32" i="9"/>
  <c r="K32" i="9"/>
  <c r="O32" i="9"/>
  <c r="S32" i="9"/>
  <c r="W32" i="9"/>
  <c r="AA32" i="9"/>
  <c r="I37" i="9"/>
  <c r="M37" i="9"/>
  <c r="Q37" i="9"/>
  <c r="U37" i="9"/>
  <c r="Y37" i="9"/>
  <c r="M30" i="9"/>
  <c r="Y30" i="9"/>
  <c r="I34" i="9"/>
  <c r="I43" i="9"/>
  <c r="J31" i="9"/>
  <c r="U34" i="9"/>
  <c r="M39" i="9"/>
  <c r="M43" i="9"/>
  <c r="I30" i="9"/>
  <c r="Z31" i="9"/>
  <c r="Y34" i="9"/>
  <c r="Q39" i="9"/>
  <c r="Y43" i="9"/>
  <c r="N31" i="9"/>
  <c r="G36" i="9"/>
  <c r="W36" i="9"/>
  <c r="R31" i="9"/>
  <c r="K36" i="9"/>
  <c r="AA36" i="9"/>
  <c r="F31" i="9"/>
  <c r="X45" i="9"/>
  <c r="J29" i="9"/>
  <c r="Z29" i="9"/>
  <c r="Q30" i="9"/>
  <c r="M34" i="9"/>
  <c r="U39" i="9"/>
  <c r="T42" i="9"/>
  <c r="Q43" i="9"/>
  <c r="H45" i="9"/>
  <c r="Z38" i="9"/>
  <c r="U30" i="9"/>
  <c r="T33" i="9"/>
  <c r="Q34" i="9"/>
  <c r="I39" i="9"/>
  <c r="Y39" i="9"/>
  <c r="U43" i="9"/>
  <c r="G12" i="12"/>
  <c r="J5" i="12" s="1"/>
  <c r="G25" i="12"/>
  <c r="J6" i="12" s="1"/>
  <c r="G43" i="12"/>
  <c r="J8" i="12" s="1"/>
  <c r="P35" i="9"/>
  <c r="N29" i="9"/>
  <c r="H33" i="9"/>
  <c r="X33" i="9"/>
  <c r="N38" i="9"/>
  <c r="H42" i="9"/>
  <c r="X42" i="9"/>
  <c r="AB35" i="9"/>
  <c r="L35" i="9"/>
  <c r="T45" i="9"/>
  <c r="R29" i="9"/>
  <c r="L33" i="9"/>
  <c r="AB33" i="9"/>
  <c r="R38" i="9"/>
  <c r="L42" i="9"/>
  <c r="AB42" i="9"/>
  <c r="X35" i="9"/>
  <c r="H35" i="9"/>
  <c r="P45" i="9"/>
  <c r="F29" i="9"/>
  <c r="F38" i="9"/>
  <c r="T35" i="9"/>
  <c r="AB45" i="9"/>
  <c r="L45" i="9"/>
  <c r="F30" i="9"/>
  <c r="J30" i="9"/>
  <c r="N30" i="9"/>
  <c r="R30" i="9"/>
  <c r="V30" i="9"/>
  <c r="Z30" i="9"/>
  <c r="F34" i="9"/>
  <c r="J34" i="9"/>
  <c r="N34" i="9"/>
  <c r="R34" i="9"/>
  <c r="V34" i="9"/>
  <c r="Z34" i="9"/>
  <c r="F39" i="9"/>
  <c r="J39" i="9"/>
  <c r="N39" i="9"/>
  <c r="R39" i="9"/>
  <c r="V39" i="9"/>
  <c r="Z39" i="9"/>
  <c r="F43" i="9"/>
  <c r="J43" i="9"/>
  <c r="N43" i="9"/>
  <c r="R43" i="9"/>
  <c r="V43" i="9"/>
  <c r="Z43" i="9"/>
  <c r="Y31" i="9"/>
  <c r="AA35" i="9"/>
  <c r="W35" i="9"/>
  <c r="S35" i="9"/>
  <c r="O35" i="9"/>
  <c r="K35" i="9"/>
  <c r="G35" i="9"/>
  <c r="AA45" i="9"/>
  <c r="W45" i="9"/>
  <c r="S45" i="9"/>
  <c r="O45" i="9"/>
  <c r="K45" i="9"/>
  <c r="G45" i="9"/>
  <c r="G30" i="9"/>
  <c r="K30" i="9"/>
  <c r="O30" i="9"/>
  <c r="S30" i="9"/>
  <c r="W30" i="9"/>
  <c r="AA30" i="9"/>
  <c r="G34" i="9"/>
  <c r="K34" i="9"/>
  <c r="O34" i="9"/>
  <c r="S34" i="9"/>
  <c r="W34" i="9"/>
  <c r="AA34" i="9"/>
  <c r="G39" i="9"/>
  <c r="K39" i="9"/>
  <c r="O39" i="9"/>
  <c r="S39" i="9"/>
  <c r="W39" i="9"/>
  <c r="AA39" i="9"/>
  <c r="G43" i="9"/>
  <c r="K43" i="9"/>
  <c r="O43" i="9"/>
  <c r="S43" i="9"/>
  <c r="W43" i="9"/>
  <c r="AA43" i="9"/>
  <c r="Z35" i="9"/>
  <c r="V35" i="9"/>
  <c r="R35" i="9"/>
  <c r="N35" i="9"/>
  <c r="J35" i="9"/>
  <c r="F35" i="9"/>
  <c r="Z45" i="9"/>
  <c r="V45" i="9"/>
  <c r="R45" i="9"/>
  <c r="N45" i="9"/>
  <c r="J45" i="9"/>
  <c r="F45" i="9"/>
  <c r="H30" i="9"/>
  <c r="L30" i="9"/>
  <c r="P30" i="9"/>
  <c r="T30" i="9"/>
  <c r="X30" i="9"/>
  <c r="AB30" i="9"/>
  <c r="H34" i="9"/>
  <c r="L34" i="9"/>
  <c r="P34" i="9"/>
  <c r="T34" i="9"/>
  <c r="X34" i="9"/>
  <c r="AB34" i="9"/>
  <c r="H39" i="9"/>
  <c r="L39" i="9"/>
  <c r="P39" i="9"/>
  <c r="T39" i="9"/>
  <c r="X39" i="9"/>
  <c r="AB39" i="9"/>
  <c r="H43" i="9"/>
  <c r="L43" i="9"/>
  <c r="P43" i="9"/>
  <c r="T43" i="9"/>
  <c r="X43" i="9"/>
  <c r="AB43" i="9"/>
  <c r="AA33" i="9"/>
  <c r="Y38" i="9"/>
  <c r="AA42" i="9"/>
  <c r="Y35" i="9"/>
  <c r="U35" i="9"/>
  <c r="Q35" i="9"/>
  <c r="M35" i="9"/>
  <c r="I35" i="9"/>
  <c r="Y45" i="9"/>
  <c r="U45" i="9"/>
  <c r="Q45" i="9"/>
  <c r="M45" i="9"/>
  <c r="I45" i="9"/>
  <c r="B14" i="14"/>
  <c r="C16" i="14"/>
  <c r="E5" i="11"/>
  <c r="D19" i="23"/>
  <c r="C20" i="23"/>
  <c r="B20" i="23" s="1"/>
  <c r="D47" i="23"/>
  <c r="C16" i="16" s="1"/>
  <c r="F15" i="14"/>
  <c r="G6" i="12"/>
  <c r="J4" i="12" s="1"/>
  <c r="G29" i="9"/>
  <c r="K29" i="9"/>
  <c r="O29" i="9"/>
  <c r="S29" i="9"/>
  <c r="W29" i="9"/>
  <c r="AA29" i="9"/>
  <c r="I33" i="9"/>
  <c r="M33" i="9"/>
  <c r="Q33" i="9"/>
  <c r="U33" i="9"/>
  <c r="Y33" i="9"/>
  <c r="G38" i="9"/>
  <c r="K38" i="9"/>
  <c r="O38" i="9"/>
  <c r="S38" i="9"/>
  <c r="W38" i="9"/>
  <c r="AA38" i="9"/>
  <c r="I42" i="9"/>
  <c r="M42" i="9"/>
  <c r="Q42" i="9"/>
  <c r="U42" i="9"/>
  <c r="Y42" i="9"/>
  <c r="H29" i="9"/>
  <c r="L29" i="9"/>
  <c r="P29" i="9"/>
  <c r="T29" i="9"/>
  <c r="X29" i="9"/>
  <c r="AB29" i="9"/>
  <c r="F33" i="9"/>
  <c r="J33" i="9"/>
  <c r="N33" i="9"/>
  <c r="R33" i="9"/>
  <c r="V33" i="9"/>
  <c r="Z33" i="9"/>
  <c r="H38" i="9"/>
  <c r="L38" i="9"/>
  <c r="P38" i="9"/>
  <c r="T38" i="9"/>
  <c r="X38" i="9"/>
  <c r="AB38" i="9"/>
  <c r="J42" i="9"/>
  <c r="N42" i="9"/>
  <c r="R42" i="9"/>
  <c r="V42" i="9"/>
  <c r="Z42" i="9"/>
  <c r="I29" i="9"/>
  <c r="M29" i="9"/>
  <c r="Q29" i="9"/>
  <c r="U29" i="9"/>
  <c r="Y29" i="9"/>
  <c r="G33" i="9"/>
  <c r="K33" i="9"/>
  <c r="O33" i="9"/>
  <c r="S33" i="9"/>
  <c r="W33" i="9"/>
  <c r="I38" i="9"/>
  <c r="M38" i="9"/>
  <c r="Q38" i="9"/>
  <c r="U38" i="9"/>
  <c r="G42" i="9"/>
  <c r="K42" i="9"/>
  <c r="O42" i="9"/>
  <c r="S42" i="9"/>
  <c r="W42" i="9"/>
  <c r="G31" i="9"/>
  <c r="K31" i="9"/>
  <c r="O31" i="9"/>
  <c r="S31" i="9"/>
  <c r="W31" i="9"/>
  <c r="AA31" i="9"/>
  <c r="H36" i="9"/>
  <c r="L36" i="9"/>
  <c r="P36" i="9"/>
  <c r="T36" i="9"/>
  <c r="X36" i="9"/>
  <c r="AB36" i="9"/>
  <c r="H31" i="9"/>
  <c r="L31" i="9"/>
  <c r="P31" i="9"/>
  <c r="T31" i="9"/>
  <c r="X31" i="9"/>
  <c r="AB31" i="9"/>
  <c r="I36" i="9"/>
  <c r="M36" i="9"/>
  <c r="Q36" i="9"/>
  <c r="U36" i="9"/>
  <c r="Y36" i="9"/>
  <c r="I31" i="9"/>
  <c r="M31" i="9"/>
  <c r="Q31" i="9"/>
  <c r="U31" i="9"/>
  <c r="F36" i="9"/>
  <c r="J36" i="9"/>
  <c r="N36" i="9"/>
  <c r="R36" i="9"/>
  <c r="V36" i="9"/>
  <c r="Z36" i="9"/>
  <c r="B9" i="13" l="1"/>
  <c r="D48" i="23"/>
  <c r="D16" i="16" s="1"/>
  <c r="D15" i="16"/>
  <c r="C10" i="16"/>
  <c r="B69" i="6"/>
  <c r="J7" i="12"/>
  <c r="C20" i="14"/>
  <c r="J9" i="12"/>
  <c r="C27" i="14"/>
  <c r="C10" i="13" s="1"/>
  <c r="C14" i="14"/>
  <c r="C9" i="13" s="1"/>
  <c r="D16" i="14"/>
  <c r="C21" i="23"/>
  <c r="D21" i="23" s="1"/>
  <c r="D20" i="23"/>
  <c r="B48" i="23"/>
  <c r="G15" i="14"/>
  <c r="G29" i="12"/>
  <c r="G44" i="12" s="1"/>
  <c r="B29" i="14" s="1"/>
  <c r="B26" i="14" s="1"/>
  <c r="B29" i="18" s="1"/>
  <c r="B10" i="13" l="1"/>
  <c r="C11" i="16"/>
  <c r="D10" i="16"/>
  <c r="D20" i="14"/>
  <c r="D13" i="15"/>
  <c r="E13" i="15" s="1"/>
  <c r="F13" i="15" s="1"/>
  <c r="G13" i="15" s="1"/>
  <c r="H13" i="15" s="1"/>
  <c r="I13" i="15" s="1"/>
  <c r="D27" i="14"/>
  <c r="D10" i="13" s="1"/>
  <c r="C11" i="14"/>
  <c r="B10" i="14"/>
  <c r="B7" i="13" s="1"/>
  <c r="D14" i="14"/>
  <c r="D9" i="13" s="1"/>
  <c r="E16" i="14"/>
  <c r="C49" i="23"/>
  <c r="B21" i="23"/>
  <c r="H15" i="14"/>
  <c r="D49" i="23" l="1"/>
  <c r="E16" i="16" s="1"/>
  <c r="C22" i="19" s="1"/>
  <c r="E15" i="16"/>
  <c r="E67" i="6"/>
  <c r="E71" i="6" s="1"/>
  <c r="I7" i="18"/>
  <c r="K7" i="18" s="1"/>
  <c r="I23" i="18"/>
  <c r="I21" i="18"/>
  <c r="K21" i="18" s="1"/>
  <c r="I14" i="18"/>
  <c r="K14" i="18" s="1"/>
  <c r="I9" i="18"/>
  <c r="K9" i="18" s="1"/>
  <c r="I10" i="18"/>
  <c r="K10" i="18" s="1"/>
  <c r="B31" i="18"/>
  <c r="I19" i="18"/>
  <c r="K19" i="18" s="1"/>
  <c r="I22" i="18"/>
  <c r="K22" i="18" s="1"/>
  <c r="I15" i="18"/>
  <c r="K15" i="18" s="1"/>
  <c r="I12" i="18"/>
  <c r="K12" i="18" s="1"/>
  <c r="I6" i="18"/>
  <c r="K6" i="18" s="1"/>
  <c r="I16" i="18"/>
  <c r="K16" i="18" s="1"/>
  <c r="I11" i="18"/>
  <c r="K11" i="18" s="1"/>
  <c r="I18" i="18"/>
  <c r="K18" i="18" s="1"/>
  <c r="I13" i="18"/>
  <c r="K13" i="18" s="1"/>
  <c r="I17" i="18"/>
  <c r="K17" i="18" s="1"/>
  <c r="I20" i="18"/>
  <c r="I8" i="18"/>
  <c r="K8" i="18" s="1"/>
  <c r="E27" i="14"/>
  <c r="E10" i="16"/>
  <c r="E20" i="14"/>
  <c r="C23" i="19"/>
  <c r="C29" i="14"/>
  <c r="C12" i="13" s="1"/>
  <c r="D11" i="14"/>
  <c r="C10" i="14"/>
  <c r="C7" i="13" s="1"/>
  <c r="F16" i="14"/>
  <c r="E14" i="14"/>
  <c r="E9" i="13" s="1"/>
  <c r="C22" i="23"/>
  <c r="D22" i="23" s="1"/>
  <c r="B49" i="23"/>
  <c r="D20" i="15" s="1"/>
  <c r="I15" i="14"/>
  <c r="J13" i="15"/>
  <c r="B8" i="14" l="1"/>
  <c r="C8" i="7"/>
  <c r="C6" i="7" s="1"/>
  <c r="F27" i="14"/>
  <c r="F10" i="13" s="1"/>
  <c r="E10" i="13"/>
  <c r="I25" i="18"/>
  <c r="K23" i="18"/>
  <c r="K25" i="18" s="1"/>
  <c r="F10" i="16"/>
  <c r="F20" i="14"/>
  <c r="D29" i="14"/>
  <c r="D12" i="13" s="1"/>
  <c r="C26" i="14"/>
  <c r="D11" i="16" s="1"/>
  <c r="G27" i="14"/>
  <c r="G10" i="13" s="1"/>
  <c r="D10" i="14"/>
  <c r="D7" i="13" s="1"/>
  <c r="E11" i="14"/>
  <c r="G16" i="14"/>
  <c r="F14" i="14"/>
  <c r="F9" i="13" s="1"/>
  <c r="C50" i="23"/>
  <c r="B22" i="23"/>
  <c r="J15" i="14"/>
  <c r="K13" i="15"/>
  <c r="D50" i="23" l="1"/>
  <c r="F16" i="16" s="1"/>
  <c r="F15" i="16"/>
  <c r="B7" i="14"/>
  <c r="B8" i="13"/>
  <c r="B6" i="13" s="1"/>
  <c r="G10" i="16"/>
  <c r="G20" i="14"/>
  <c r="E29" i="14"/>
  <c r="E12" i="13" s="1"/>
  <c r="D26" i="14"/>
  <c r="E11" i="16" s="1"/>
  <c r="H27" i="14"/>
  <c r="H10" i="13" s="1"/>
  <c r="F11" i="14"/>
  <c r="E10" i="14"/>
  <c r="E7" i="13" s="1"/>
  <c r="H16" i="14"/>
  <c r="G14" i="14"/>
  <c r="G9" i="13" s="1"/>
  <c r="C23" i="23"/>
  <c r="D23" i="23" s="1"/>
  <c r="B50" i="23"/>
  <c r="K15" i="14"/>
  <c r="H10" i="16" l="1"/>
  <c r="H20" i="14"/>
  <c r="D23" i="19"/>
  <c r="F29" i="14"/>
  <c r="F12" i="13" s="1"/>
  <c r="E26" i="14"/>
  <c r="F11" i="16" s="1"/>
  <c r="I27" i="14"/>
  <c r="I10" i="13" s="1"/>
  <c r="G11" i="14"/>
  <c r="F10" i="14"/>
  <c r="F7" i="13" s="1"/>
  <c r="I16" i="14"/>
  <c r="H14" i="14"/>
  <c r="H9" i="13" s="1"/>
  <c r="C51" i="23"/>
  <c r="B23" i="23"/>
  <c r="L15" i="14"/>
  <c r="D51" i="23" l="1"/>
  <c r="G16" i="16" s="1"/>
  <c r="G15" i="16"/>
  <c r="I10" i="16"/>
  <c r="I20" i="14"/>
  <c r="G29" i="14"/>
  <c r="G12" i="13" s="1"/>
  <c r="F26" i="14"/>
  <c r="G11" i="16" s="1"/>
  <c r="J27" i="14"/>
  <c r="J10" i="13" s="1"/>
  <c r="H11" i="14"/>
  <c r="G10" i="14"/>
  <c r="G7" i="13" s="1"/>
  <c r="J16" i="14"/>
  <c r="I14" i="14"/>
  <c r="I9" i="13" s="1"/>
  <c r="C24" i="23"/>
  <c r="D24" i="23" s="1"/>
  <c r="B51" i="23"/>
  <c r="M15" i="14"/>
  <c r="J10" i="16" l="1"/>
  <c r="J20" i="14"/>
  <c r="H29" i="14"/>
  <c r="H12" i="13" s="1"/>
  <c r="G26" i="14"/>
  <c r="H11" i="16" s="1"/>
  <c r="K27" i="14"/>
  <c r="K10" i="13" s="1"/>
  <c r="H10" i="14"/>
  <c r="H7" i="13" s="1"/>
  <c r="I11" i="14"/>
  <c r="K16" i="14"/>
  <c r="J14" i="14"/>
  <c r="J9" i="13" s="1"/>
  <c r="B24" i="23"/>
  <c r="C25" i="23" s="1"/>
  <c r="D25" i="23" s="1"/>
  <c r="C52" i="23"/>
  <c r="B52" i="23" s="1"/>
  <c r="E20" i="15" s="1"/>
  <c r="N15" i="14"/>
  <c r="D52" i="23" l="1"/>
  <c r="H16" i="16" s="1"/>
  <c r="D22" i="19" s="1"/>
  <c r="H15" i="16"/>
  <c r="K10" i="16"/>
  <c r="K20" i="14"/>
  <c r="E23" i="19"/>
  <c r="I29" i="14"/>
  <c r="I12" i="13" s="1"/>
  <c r="H26" i="14"/>
  <c r="I11" i="16" s="1"/>
  <c r="L27" i="14"/>
  <c r="L10" i="13" s="1"/>
  <c r="I10" i="14"/>
  <c r="I7" i="13" s="1"/>
  <c r="J11" i="14"/>
  <c r="L16" i="14"/>
  <c r="K14" i="14"/>
  <c r="K9" i="13" s="1"/>
  <c r="B25" i="23"/>
  <c r="C53" i="23"/>
  <c r="O15" i="14"/>
  <c r="D53" i="23" l="1"/>
  <c r="I16" i="16" s="1"/>
  <c r="I15" i="16"/>
  <c r="L10" i="16"/>
  <c r="L20" i="14"/>
  <c r="J29" i="14"/>
  <c r="J12" i="13" s="1"/>
  <c r="I26" i="14"/>
  <c r="J11" i="16" s="1"/>
  <c r="M27" i="14"/>
  <c r="M10" i="13" s="1"/>
  <c r="K11" i="14"/>
  <c r="J10" i="14"/>
  <c r="J7" i="13" s="1"/>
  <c r="M16" i="14"/>
  <c r="L14" i="14"/>
  <c r="L9" i="13" s="1"/>
  <c r="B53" i="23"/>
  <c r="C26" i="23"/>
  <c r="D26" i="23" s="1"/>
  <c r="P15" i="14"/>
  <c r="M10" i="16" l="1"/>
  <c r="M20" i="14"/>
  <c r="K29" i="14"/>
  <c r="K12" i="13" s="1"/>
  <c r="J26" i="14"/>
  <c r="K11" i="16" s="1"/>
  <c r="N27" i="14"/>
  <c r="N10" i="13" s="1"/>
  <c r="K10" i="14"/>
  <c r="K7" i="13" s="1"/>
  <c r="L11" i="14"/>
  <c r="N16" i="14"/>
  <c r="M14" i="14"/>
  <c r="M9" i="13" s="1"/>
  <c r="B26" i="23"/>
  <c r="C54" i="23"/>
  <c r="Q15" i="14"/>
  <c r="D54" i="23" l="1"/>
  <c r="J16" i="16" s="1"/>
  <c r="J15" i="16"/>
  <c r="N20" i="14"/>
  <c r="F23" i="19"/>
  <c r="N10" i="16"/>
  <c r="L29" i="14"/>
  <c r="L12" i="13" s="1"/>
  <c r="K26" i="14"/>
  <c r="L11" i="16" s="1"/>
  <c r="O27" i="14"/>
  <c r="O10" i="13" s="1"/>
  <c r="M11" i="14"/>
  <c r="L10" i="14"/>
  <c r="L7" i="13" s="1"/>
  <c r="O16" i="14"/>
  <c r="N14" i="14"/>
  <c r="N9" i="13" s="1"/>
  <c r="B54" i="23"/>
  <c r="C27" i="23"/>
  <c r="D27" i="23" s="1"/>
  <c r="R15" i="14"/>
  <c r="O10" i="16" l="1"/>
  <c r="O20" i="14"/>
  <c r="M29" i="14"/>
  <c r="M12" i="13" s="1"/>
  <c r="L26" i="14"/>
  <c r="M11" i="16" s="1"/>
  <c r="P27" i="14"/>
  <c r="P10" i="13" s="1"/>
  <c r="M10" i="14"/>
  <c r="M7" i="13" s="1"/>
  <c r="N11" i="14"/>
  <c r="P16" i="14"/>
  <c r="O14" i="14"/>
  <c r="O9" i="13" s="1"/>
  <c r="B27" i="23"/>
  <c r="C55" i="23"/>
  <c r="S15" i="14"/>
  <c r="D55" i="23" l="1"/>
  <c r="K16" i="16" s="1"/>
  <c r="E22" i="19" s="1"/>
  <c r="K15" i="16"/>
  <c r="P10" i="16"/>
  <c r="P20" i="14"/>
  <c r="N29" i="14"/>
  <c r="N12" i="13" s="1"/>
  <c r="M26" i="14"/>
  <c r="N11" i="16" s="1"/>
  <c r="Q27" i="14"/>
  <c r="Q10" i="13" s="1"/>
  <c r="N10" i="14"/>
  <c r="N7" i="13" s="1"/>
  <c r="O11" i="14"/>
  <c r="Q16" i="14"/>
  <c r="P14" i="14"/>
  <c r="P9" i="13" s="1"/>
  <c r="B55" i="23"/>
  <c r="F20" i="15" s="1"/>
  <c r="C28" i="23"/>
  <c r="D28" i="23" s="1"/>
  <c r="T15" i="14"/>
  <c r="G23" i="19" l="1"/>
  <c r="Q10" i="16"/>
  <c r="Q20" i="14"/>
  <c r="O29" i="14"/>
  <c r="O12" i="13" s="1"/>
  <c r="N26" i="14"/>
  <c r="O11" i="16" s="1"/>
  <c r="R27" i="14"/>
  <c r="R10" i="13" s="1"/>
  <c r="O10" i="14"/>
  <c r="O7" i="13" s="1"/>
  <c r="P11" i="14"/>
  <c r="R16" i="14"/>
  <c r="Q14" i="14"/>
  <c r="Q9" i="13" s="1"/>
  <c r="B28" i="23"/>
  <c r="D56" i="23"/>
  <c r="U15" i="14"/>
  <c r="G56" i="23" l="1"/>
  <c r="C56" i="23" s="1"/>
  <c r="L16" i="16"/>
  <c r="F22" i="19" s="1"/>
  <c r="R10" i="16"/>
  <c r="R20" i="14"/>
  <c r="P29" i="14"/>
  <c r="P12" i="13" s="1"/>
  <c r="O26" i="14"/>
  <c r="P11" i="16" s="1"/>
  <c r="S27" i="14"/>
  <c r="S10" i="13" s="1"/>
  <c r="P10" i="14"/>
  <c r="P7" i="13" s="1"/>
  <c r="Q11" i="14"/>
  <c r="S16" i="14"/>
  <c r="R14" i="14"/>
  <c r="R9" i="13" s="1"/>
  <c r="C29" i="23"/>
  <c r="D29" i="23" s="1"/>
  <c r="V15" i="14"/>
  <c r="B56" i="23" l="1"/>
  <c r="L15" i="16"/>
  <c r="S10" i="16"/>
  <c r="S20" i="14"/>
  <c r="Q29" i="14"/>
  <c r="Q12" i="13" s="1"/>
  <c r="P26" i="14"/>
  <c r="Q11" i="16" s="1"/>
  <c r="T27" i="14"/>
  <c r="Q10" i="14"/>
  <c r="Q7" i="13" s="1"/>
  <c r="R11" i="14"/>
  <c r="T16" i="14"/>
  <c r="S14" i="14"/>
  <c r="S9" i="13" s="1"/>
  <c r="B29" i="23"/>
  <c r="W15" i="14"/>
  <c r="T10" i="13" l="1"/>
  <c r="H23" i="19"/>
  <c r="T10" i="16"/>
  <c r="T20" i="14"/>
  <c r="R29" i="14"/>
  <c r="R12" i="13" s="1"/>
  <c r="Q26" i="14"/>
  <c r="R11" i="16" s="1"/>
  <c r="U27" i="14"/>
  <c r="U10" i="13" s="1"/>
  <c r="S11" i="14"/>
  <c r="R10" i="14"/>
  <c r="R7" i="13" s="1"/>
  <c r="U16" i="14"/>
  <c r="T14" i="14"/>
  <c r="T9" i="13" s="1"/>
  <c r="C30" i="23"/>
  <c r="D30" i="23" s="1"/>
  <c r="X15" i="14"/>
  <c r="U20" i="14" l="1"/>
  <c r="U10" i="16"/>
  <c r="S29" i="14"/>
  <c r="S12" i="13" s="1"/>
  <c r="R26" i="14"/>
  <c r="S11" i="16" s="1"/>
  <c r="V27" i="14"/>
  <c r="V10" i="13" s="1"/>
  <c r="T11" i="14"/>
  <c r="S10" i="14"/>
  <c r="S7" i="13" s="1"/>
  <c r="V16" i="14"/>
  <c r="U14" i="14"/>
  <c r="U9" i="13" s="1"/>
  <c r="B30" i="23"/>
  <c r="Y15" i="14"/>
  <c r="V20" i="14" l="1"/>
  <c r="V10" i="16"/>
  <c r="T29" i="14"/>
  <c r="T12" i="13" s="1"/>
  <c r="S26" i="14"/>
  <c r="T11" i="16" s="1"/>
  <c r="W27" i="14"/>
  <c r="W10" i="13" s="1"/>
  <c r="U11" i="14"/>
  <c r="T10" i="14"/>
  <c r="T7" i="13" s="1"/>
  <c r="W16" i="14"/>
  <c r="V14" i="14"/>
  <c r="V9" i="13" s="1"/>
  <c r="C31" i="23"/>
  <c r="D31" i="23" s="1"/>
  <c r="W20" i="14" l="1"/>
  <c r="I23" i="19"/>
  <c r="W10" i="16"/>
  <c r="U29" i="14"/>
  <c r="U12" i="13" s="1"/>
  <c r="T26" i="14"/>
  <c r="U11" i="16" s="1"/>
  <c r="X27" i="14"/>
  <c r="X10" i="13" s="1"/>
  <c r="U10" i="14"/>
  <c r="U7" i="13" s="1"/>
  <c r="V11" i="14"/>
  <c r="X16" i="14"/>
  <c r="W14" i="14"/>
  <c r="W9" i="13" s="1"/>
  <c r="B31" i="23"/>
  <c r="X10" i="16" l="1"/>
  <c r="Y20" i="14"/>
  <c r="X20" i="14"/>
  <c r="V29" i="14"/>
  <c r="V12" i="13" s="1"/>
  <c r="U26" i="14"/>
  <c r="V11" i="16" s="1"/>
  <c r="Y27" i="14"/>
  <c r="V10" i="14"/>
  <c r="V7" i="13" s="1"/>
  <c r="W11" i="14"/>
  <c r="Y16" i="14"/>
  <c r="Y14" i="14" s="1"/>
  <c r="Y9" i="13" s="1"/>
  <c r="X14" i="14"/>
  <c r="X9" i="13" s="1"/>
  <c r="C32" i="23"/>
  <c r="D32" i="23" s="1"/>
  <c r="Y10" i="13" l="1"/>
  <c r="Y10" i="16"/>
  <c r="Z10" i="16"/>
  <c r="W29" i="14"/>
  <c r="W12" i="13" s="1"/>
  <c r="V26" i="14"/>
  <c r="W11" i="16" s="1"/>
  <c r="W10" i="14"/>
  <c r="W7" i="13" s="1"/>
  <c r="X11" i="14"/>
  <c r="B32" i="23"/>
  <c r="J23" i="19" l="1"/>
  <c r="X29" i="14"/>
  <c r="X12" i="13" s="1"/>
  <c r="W26" i="14"/>
  <c r="X11" i="16" s="1"/>
  <c r="Y11" i="14"/>
  <c r="Y10" i="14" s="1"/>
  <c r="Y7" i="13" s="1"/>
  <c r="X10" i="14"/>
  <c r="X7" i="13" s="1"/>
  <c r="C33" i="23"/>
  <c r="D33" i="23" s="1"/>
  <c r="Y29" i="14" l="1"/>
  <c r="Y12" i="13" s="1"/>
  <c r="X26" i="14"/>
  <c r="Y11" i="16" s="1"/>
  <c r="B33" i="23"/>
  <c r="Y26" i="14" l="1"/>
  <c r="Z11" i="16" s="1"/>
  <c r="C34" i="23"/>
  <c r="D34" i="23" s="1"/>
  <c r="B34" i="23" l="1"/>
  <c r="C35" i="23" l="1"/>
  <c r="D35" i="23" s="1"/>
  <c r="B35" i="23" l="1"/>
  <c r="C36" i="23" l="1"/>
  <c r="D36" i="23" s="1"/>
  <c r="B36" i="23" l="1"/>
  <c r="C37" i="23" l="1"/>
  <c r="D37" i="23" s="1"/>
  <c r="B37" i="23" l="1"/>
  <c r="C38" i="23" l="1"/>
  <c r="D38" i="23" s="1"/>
  <c r="B38" i="23" l="1"/>
  <c r="C39" i="23" l="1"/>
  <c r="D39" i="23" s="1"/>
  <c r="B39" i="23" l="1"/>
  <c r="C40" i="23" l="1"/>
  <c r="D40" i="23" s="1"/>
  <c r="B40" i="23" l="1"/>
  <c r="C41" i="23" l="1"/>
  <c r="D41" i="23" s="1"/>
  <c r="B41" i="23" l="1"/>
  <c r="C42" i="23"/>
  <c r="D42" i="23" s="1"/>
  <c r="B42" i="23" l="1"/>
  <c r="U16" i="22" l="1"/>
  <c r="U15" i="22"/>
  <c r="U14" i="22"/>
  <c r="Y24" i="22"/>
  <c r="W24" i="22"/>
  <c r="U10" i="22"/>
  <c r="X22" i="22"/>
  <c r="U9" i="22"/>
  <c r="X18" i="22"/>
  <c r="U8" i="22"/>
  <c r="X10" i="22"/>
  <c r="X9" i="22"/>
  <c r="X8" i="22"/>
  <c r="X24" i="22" l="1"/>
  <c r="W44" i="9"/>
  <c r="K44" i="9"/>
  <c r="AA44" i="9"/>
  <c r="T44" i="9"/>
  <c r="I44" i="9"/>
  <c r="Y44" i="9"/>
  <c r="R44" i="9"/>
  <c r="U44" i="9"/>
  <c r="O44" i="9"/>
  <c r="H44" i="9"/>
  <c r="X44" i="9"/>
  <c r="M44" i="9"/>
  <c r="F44" i="9"/>
  <c r="V44" i="9"/>
  <c r="AB44" i="9"/>
  <c r="N44" i="9"/>
  <c r="G44" i="9"/>
  <c r="L44" i="9"/>
  <c r="Q44" i="9"/>
  <c r="J44" i="9"/>
  <c r="Z44" i="9"/>
  <c r="S44" i="9"/>
  <c r="P44" i="9"/>
  <c r="AA40" i="9"/>
  <c r="O40" i="9"/>
  <c r="O46" i="9" s="1"/>
  <c r="L5" i="13" s="1"/>
  <c r="S40" i="9"/>
  <c r="S46" i="9" s="1"/>
  <c r="P5" i="13" s="1"/>
  <c r="L40" i="9"/>
  <c r="AB40" i="9"/>
  <c r="AB46" i="9" s="1"/>
  <c r="Y5" i="13" s="1"/>
  <c r="Q40" i="9"/>
  <c r="F40" i="9"/>
  <c r="V40" i="9"/>
  <c r="X40" i="9"/>
  <c r="X46" i="9" s="1"/>
  <c r="U5" i="13" s="1"/>
  <c r="R40" i="9"/>
  <c r="G40" i="9"/>
  <c r="K40" i="9"/>
  <c r="Z40" i="9"/>
  <c r="P40" i="9"/>
  <c r="U40" i="9"/>
  <c r="J40" i="9"/>
  <c r="H40" i="9"/>
  <c r="H46" i="9" s="1"/>
  <c r="E5" i="13" s="1"/>
  <c r="W40" i="9"/>
  <c r="T40" i="9"/>
  <c r="I40" i="9"/>
  <c r="I46" i="9" s="1"/>
  <c r="F5" i="13" s="1"/>
  <c r="Y40" i="9"/>
  <c r="N40" i="9"/>
  <c r="M40" i="9"/>
  <c r="U11" i="22"/>
  <c r="U12" i="22"/>
  <c r="U13" i="22"/>
  <c r="V24" i="22"/>
  <c r="T7" i="22"/>
  <c r="L46" i="9" l="1"/>
  <c r="I5" i="13" s="1"/>
  <c r="E14" i="13"/>
  <c r="I14" i="13"/>
  <c r="F14" i="13"/>
  <c r="U14" i="13"/>
  <c r="P14" i="13"/>
  <c r="Y14" i="13"/>
  <c r="L14" i="13"/>
  <c r="M46" i="9"/>
  <c r="J46" i="9"/>
  <c r="U46" i="9"/>
  <c r="T46" i="9"/>
  <c r="W46" i="9"/>
  <c r="T5" i="13" s="1"/>
  <c r="P46" i="9"/>
  <c r="M5" i="13" s="1"/>
  <c r="N5" i="16" s="1"/>
  <c r="B16" i="17" s="1"/>
  <c r="E16" i="17" s="1"/>
  <c r="R46" i="9"/>
  <c r="O5" i="13" s="1"/>
  <c r="Q46" i="9"/>
  <c r="E46" i="9"/>
  <c r="B5" i="13" s="1"/>
  <c r="U24" i="22"/>
  <c r="N46" i="9"/>
  <c r="K46" i="9"/>
  <c r="F46" i="9"/>
  <c r="C5" i="13" s="1"/>
  <c r="G5" i="16"/>
  <c r="B9" i="17" s="1"/>
  <c r="E9" i="17" s="1"/>
  <c r="M5" i="16"/>
  <c r="B15" i="17" s="1"/>
  <c r="E15" i="17" s="1"/>
  <c r="Z46" i="9"/>
  <c r="W5" i="13" s="1"/>
  <c r="V5" i="16"/>
  <c r="B24" i="17" s="1"/>
  <c r="E24" i="17" s="1"/>
  <c r="Z5" i="16"/>
  <c r="B28" i="17" s="1"/>
  <c r="E28" i="17" s="1"/>
  <c r="AA46" i="9"/>
  <c r="X5" i="13" s="1"/>
  <c r="V46" i="9"/>
  <c r="S5" i="13" s="1"/>
  <c r="J5" i="16"/>
  <c r="B12" i="17" s="1"/>
  <c r="E12" i="17" s="1"/>
  <c r="F5" i="16"/>
  <c r="B8" i="17" s="1"/>
  <c r="E8" i="17" s="1"/>
  <c r="Y46" i="9"/>
  <c r="V5" i="13" s="1"/>
  <c r="G46" i="9"/>
  <c r="D5" i="13" s="1"/>
  <c r="Q5" i="16"/>
  <c r="B19" i="17" s="1"/>
  <c r="E19" i="17" s="1"/>
  <c r="T24" i="22"/>
  <c r="T14" i="13" l="1"/>
  <c r="J18" i="15" s="1"/>
  <c r="J21" i="15" s="1"/>
  <c r="G5" i="13"/>
  <c r="D17" i="19" s="1"/>
  <c r="D14" i="13"/>
  <c r="N5" i="13"/>
  <c r="Q5" i="13"/>
  <c r="J5" i="13"/>
  <c r="K5" i="13"/>
  <c r="F17" i="19" s="1"/>
  <c r="S14" i="13"/>
  <c r="W14" i="13"/>
  <c r="C14" i="13"/>
  <c r="O14" i="13"/>
  <c r="R5" i="13"/>
  <c r="S5" i="16" s="1"/>
  <c r="B21" i="17" s="1"/>
  <c r="E21" i="17" s="1"/>
  <c r="U5" i="16"/>
  <c r="B23" i="17" s="1"/>
  <c r="E23" i="17" s="1"/>
  <c r="V14" i="13"/>
  <c r="X14" i="13"/>
  <c r="H5" i="13"/>
  <c r="I5" i="16" s="1"/>
  <c r="B11" i="17" s="1"/>
  <c r="E11" i="17" s="1"/>
  <c r="B14" i="13"/>
  <c r="B13" i="13"/>
  <c r="M14" i="13"/>
  <c r="P5" i="16"/>
  <c r="B18" i="17" s="1"/>
  <c r="E18" i="17" s="1"/>
  <c r="D5" i="16"/>
  <c r="B6" i="17" s="1"/>
  <c r="E6" i="17" s="1"/>
  <c r="C5" i="16"/>
  <c r="B5" i="17" s="1"/>
  <c r="E5" i="17" s="1"/>
  <c r="W5" i="16"/>
  <c r="B25" i="17" s="1"/>
  <c r="E25" i="17" s="1"/>
  <c r="Y5" i="16"/>
  <c r="B27" i="17" s="1"/>
  <c r="E27" i="17" s="1"/>
  <c r="T5" i="16"/>
  <c r="B22" i="17" s="1"/>
  <c r="E22" i="17" s="1"/>
  <c r="J17" i="19"/>
  <c r="X5" i="16"/>
  <c r="B26" i="17" s="1"/>
  <c r="E26" i="17" s="1"/>
  <c r="E5" i="16"/>
  <c r="B7" i="17" s="1"/>
  <c r="E7" i="17" s="1"/>
  <c r="I17" i="19"/>
  <c r="E46" i="6"/>
  <c r="E45" i="6"/>
  <c r="E44" i="6"/>
  <c r="E43" i="6"/>
  <c r="E42" i="6"/>
  <c r="E41" i="6"/>
  <c r="E40" i="6"/>
  <c r="E39" i="6"/>
  <c r="E38" i="6"/>
  <c r="E37" i="6"/>
  <c r="E36" i="6"/>
  <c r="E35" i="6"/>
  <c r="E32" i="6"/>
  <c r="E31" i="6"/>
  <c r="E30" i="6"/>
  <c r="E28" i="6"/>
  <c r="E27" i="6"/>
  <c r="E26" i="6"/>
  <c r="E25" i="6"/>
  <c r="E24" i="6"/>
  <c r="E23" i="6"/>
  <c r="E22" i="6"/>
  <c r="E21" i="6"/>
  <c r="E20" i="6"/>
  <c r="E19" i="6"/>
  <c r="E18" i="6"/>
  <c r="E17" i="6"/>
  <c r="E15" i="6"/>
  <c r="E14" i="6"/>
  <c r="E13" i="6"/>
  <c r="E9" i="6"/>
  <c r="E8" i="6" s="1"/>
  <c r="D23" i="5"/>
  <c r="C23" i="5"/>
  <c r="E22" i="5"/>
  <c r="E21" i="5"/>
  <c r="E20" i="5"/>
  <c r="E19" i="5"/>
  <c r="E18" i="5"/>
  <c r="E17" i="5"/>
  <c r="E16" i="5"/>
  <c r="J15" i="5"/>
  <c r="I15" i="5"/>
  <c r="E15" i="5"/>
  <c r="K14" i="5"/>
  <c r="E14" i="5"/>
  <c r="K13" i="5"/>
  <c r="E13" i="5"/>
  <c r="K12" i="5"/>
  <c r="E12" i="5"/>
  <c r="K11" i="5"/>
  <c r="E11" i="5"/>
  <c r="K10" i="5"/>
  <c r="E10" i="5"/>
  <c r="K9" i="5"/>
  <c r="E9" i="5"/>
  <c r="K8" i="5"/>
  <c r="E8" i="5"/>
  <c r="K7" i="5"/>
  <c r="E7" i="5"/>
  <c r="E6" i="5"/>
  <c r="H20" i="4"/>
  <c r="F20" i="4"/>
  <c r="D20" i="4"/>
  <c r="C20" i="4"/>
  <c r="I19" i="4"/>
  <c r="G19" i="4"/>
  <c r="E19" i="4"/>
  <c r="I18" i="4"/>
  <c r="G18" i="4"/>
  <c r="E18" i="4"/>
  <c r="I17" i="4"/>
  <c r="G17" i="4"/>
  <c r="E17" i="4"/>
  <c r="I16" i="4"/>
  <c r="G16" i="4"/>
  <c r="E16" i="4"/>
  <c r="E20" i="4" s="1"/>
  <c r="I15" i="4"/>
  <c r="I20" i="4" l="1"/>
  <c r="G20" i="4"/>
  <c r="K18" i="15"/>
  <c r="K21" i="15" s="1"/>
  <c r="J7" i="19" s="1"/>
  <c r="H17" i="19"/>
  <c r="J14" i="13"/>
  <c r="N14" i="13"/>
  <c r="H18" i="15" s="1"/>
  <c r="H21" i="15" s="1"/>
  <c r="G7" i="19" s="1"/>
  <c r="G14" i="13"/>
  <c r="E18" i="15" s="1"/>
  <c r="E21" i="15" s="1"/>
  <c r="E22" i="15" s="1"/>
  <c r="D15" i="19" s="1"/>
  <c r="H14" i="13"/>
  <c r="K5" i="16"/>
  <c r="B13" i="17" s="1"/>
  <c r="E13" i="17" s="1"/>
  <c r="O5" i="16"/>
  <c r="B17" i="17" s="1"/>
  <c r="E17" i="17" s="1"/>
  <c r="H5" i="16"/>
  <c r="B10" i="17" s="1"/>
  <c r="E10" i="17" s="1"/>
  <c r="R14" i="13"/>
  <c r="E17" i="19"/>
  <c r="K14" i="13"/>
  <c r="G18" i="15" s="1"/>
  <c r="G21" i="15" s="1"/>
  <c r="G22" i="15" s="1"/>
  <c r="F15" i="19" s="1"/>
  <c r="Q14" i="13"/>
  <c r="G17" i="19"/>
  <c r="L5" i="16"/>
  <c r="B14" i="17" s="1"/>
  <c r="E14" i="17" s="1"/>
  <c r="R5" i="16"/>
  <c r="B20" i="17" s="1"/>
  <c r="E20" i="17" s="1"/>
  <c r="C17" i="19"/>
  <c r="D18" i="15"/>
  <c r="D21" i="15" s="1"/>
  <c r="C7" i="19" s="1"/>
  <c r="J22" i="15"/>
  <c r="I15" i="19" s="1"/>
  <c r="I7" i="19"/>
  <c r="G12" i="5"/>
  <c r="E29" i="6"/>
  <c r="E16" i="6"/>
  <c r="E10" i="6"/>
  <c r="E47" i="6"/>
  <c r="D12" i="15" s="1"/>
  <c r="E12" i="15" s="1"/>
  <c r="F12" i="15" s="1"/>
  <c r="G12" i="15" s="1"/>
  <c r="H12" i="15" s="1"/>
  <c r="I12" i="15" s="1"/>
  <c r="J12" i="15" s="1"/>
  <c r="K12" i="15" s="1"/>
  <c r="K15" i="5"/>
  <c r="O6" i="5" s="1"/>
  <c r="E23" i="5"/>
  <c r="I18" i="15" l="1"/>
  <c r="I21" i="15" s="1"/>
  <c r="I22" i="15" s="1"/>
  <c r="H15" i="19" s="1"/>
  <c r="K22" i="15"/>
  <c r="J15" i="19" s="1"/>
  <c r="H22" i="15"/>
  <c r="G15" i="19" s="1"/>
  <c r="F7" i="19"/>
  <c r="F18" i="15"/>
  <c r="F21" i="15" s="1"/>
  <c r="E7" i="19" s="1"/>
  <c r="E29" i="17"/>
  <c r="D7" i="19"/>
  <c r="H7" i="19"/>
  <c r="D22" i="15"/>
  <c r="C15" i="19" s="1"/>
  <c r="J19" i="5"/>
  <c r="J18" i="5"/>
  <c r="E33" i="6"/>
  <c r="D11" i="15" s="1"/>
  <c r="F22" i="15" l="1"/>
  <c r="E15" i="19" s="1"/>
  <c r="C20" i="19"/>
  <c r="E11" i="15"/>
  <c r="C14" i="19"/>
  <c r="D14" i="15"/>
  <c r="E48" i="6"/>
  <c r="E72" i="6" s="1"/>
  <c r="J20" i="5"/>
  <c r="O11" i="5" s="1"/>
  <c r="B8" i="7" l="1"/>
  <c r="C38" i="19"/>
  <c r="C34" i="19"/>
  <c r="D14" i="19"/>
  <c r="E14" i="15"/>
  <c r="F11" i="15"/>
  <c r="D20" i="19"/>
  <c r="B6" i="7" l="1"/>
  <c r="D6" i="7" s="1"/>
  <c r="I14" i="7" s="1"/>
  <c r="D8" i="7"/>
  <c r="E7" i="7" s="1"/>
  <c r="C8" i="14"/>
  <c r="C8" i="13" s="1"/>
  <c r="C6" i="13" s="1"/>
  <c r="C13" i="13" s="1"/>
  <c r="C15" i="13" s="1"/>
  <c r="C16" i="13" s="1"/>
  <c r="B31" i="16"/>
  <c r="B8" i="16"/>
  <c r="B7" i="16" s="1"/>
  <c r="F14" i="15"/>
  <c r="G11" i="15"/>
  <c r="E20" i="19"/>
  <c r="E14" i="19"/>
  <c r="D34" i="19"/>
  <c r="D38" i="19"/>
  <c r="E15" i="7" l="1"/>
  <c r="G15" i="7" s="1"/>
  <c r="E14" i="7"/>
  <c r="G14" i="15"/>
  <c r="F20" i="19"/>
  <c r="H11" i="15"/>
  <c r="F14" i="19"/>
  <c r="E38" i="19"/>
  <c r="E34" i="19"/>
  <c r="D24" i="15"/>
  <c r="B19" i="16"/>
  <c r="E6" i="7"/>
  <c r="C4" i="17"/>
  <c r="F4" i="17" s="1"/>
  <c r="B13" i="16"/>
  <c r="B6" i="14"/>
  <c r="B5" i="14" s="1"/>
  <c r="C9" i="16" s="1"/>
  <c r="C7" i="14"/>
  <c r="C6" i="14" s="1"/>
  <c r="C5" i="14" s="1"/>
  <c r="D9" i="16" s="1"/>
  <c r="D7" i="16" s="1"/>
  <c r="D8" i="14"/>
  <c r="D8" i="13" s="1"/>
  <c r="D6" i="13" s="1"/>
  <c r="D13" i="13" s="1"/>
  <c r="D15" i="13" s="1"/>
  <c r="D16" i="13" s="1"/>
  <c r="E16" i="7" l="1"/>
  <c r="G14" i="7"/>
  <c r="G16" i="7" s="1"/>
  <c r="C33" i="16"/>
  <c r="E33" i="16" s="1"/>
  <c r="C32" i="16"/>
  <c r="E32" i="16" s="1"/>
  <c r="F32" i="16" s="1"/>
  <c r="F38" i="19"/>
  <c r="F34" i="19"/>
  <c r="B18" i="16"/>
  <c r="H14" i="15"/>
  <c r="I11" i="15"/>
  <c r="G20" i="19"/>
  <c r="G14" i="19"/>
  <c r="E8" i="14"/>
  <c r="E8" i="13" s="1"/>
  <c r="E6" i="13" s="1"/>
  <c r="E13" i="13" s="1"/>
  <c r="E15" i="13" s="1"/>
  <c r="E16" i="13" s="1"/>
  <c r="D7" i="14"/>
  <c r="D6" i="14" s="1"/>
  <c r="D5" i="14" s="1"/>
  <c r="E9" i="16" s="1"/>
  <c r="E7" i="16" s="1"/>
  <c r="C6" i="17"/>
  <c r="F6" i="17" s="1"/>
  <c r="D13" i="16"/>
  <c r="D18" i="16" s="1"/>
  <c r="E24" i="15"/>
  <c r="C7" i="16" l="1"/>
  <c r="C5" i="17" s="1"/>
  <c r="F5" i="17" s="1"/>
  <c r="C19" i="19"/>
  <c r="C48" i="19" s="1"/>
  <c r="F33" i="16"/>
  <c r="F8" i="14"/>
  <c r="F8" i="13" s="1"/>
  <c r="F6" i="13" s="1"/>
  <c r="F13" i="13" s="1"/>
  <c r="F15" i="13" s="1"/>
  <c r="F16" i="13" s="1"/>
  <c r="E7" i="14"/>
  <c r="E6" i="14" s="1"/>
  <c r="E5" i="14" s="1"/>
  <c r="F9" i="16" s="1"/>
  <c r="F7" i="16" s="1"/>
  <c r="I14" i="15"/>
  <c r="H20" i="19"/>
  <c r="H14" i="19"/>
  <c r="J11" i="15"/>
  <c r="D8" i="15"/>
  <c r="C8" i="19" s="1"/>
  <c r="C34" i="16"/>
  <c r="E34" i="16" s="1"/>
  <c r="C16" i="19"/>
  <c r="F24" i="15"/>
  <c r="G34" i="19"/>
  <c r="G38" i="19"/>
  <c r="C7" i="17"/>
  <c r="F7" i="17" s="1"/>
  <c r="E13" i="16"/>
  <c r="E18" i="16" s="1"/>
  <c r="C13" i="16" l="1"/>
  <c r="C35" i="19"/>
  <c r="F34" i="16"/>
  <c r="H34" i="19"/>
  <c r="H38" i="19"/>
  <c r="F13" i="16"/>
  <c r="C8" i="17"/>
  <c r="F8" i="17" s="1"/>
  <c r="G24" i="15"/>
  <c r="G8" i="14"/>
  <c r="G8" i="13" s="1"/>
  <c r="G6" i="13" s="1"/>
  <c r="G13" i="13" s="1"/>
  <c r="G15" i="13" s="1"/>
  <c r="G16" i="13" s="1"/>
  <c r="F7" i="14"/>
  <c r="F6" i="14" s="1"/>
  <c r="F5" i="14" s="1"/>
  <c r="G9" i="16" s="1"/>
  <c r="G7" i="16" s="1"/>
  <c r="J14" i="15"/>
  <c r="I14" i="19"/>
  <c r="K11" i="15"/>
  <c r="I20" i="19"/>
  <c r="C18" i="16" l="1"/>
  <c r="D7" i="15" s="1"/>
  <c r="C9" i="19" s="1"/>
  <c r="C30" i="19" s="1"/>
  <c r="I34" i="19"/>
  <c r="I38" i="19"/>
  <c r="C35" i="16"/>
  <c r="E35" i="16" s="1"/>
  <c r="F35" i="16" s="1"/>
  <c r="H8" i="14"/>
  <c r="H8" i="13" s="1"/>
  <c r="H6" i="13" s="1"/>
  <c r="H13" i="13" s="1"/>
  <c r="H15" i="13" s="1"/>
  <c r="H16" i="13" s="1"/>
  <c r="G7" i="14"/>
  <c r="F18" i="16"/>
  <c r="C36" i="16"/>
  <c r="E36" i="16" s="1"/>
  <c r="K14" i="15"/>
  <c r="J20" i="19"/>
  <c r="J14" i="19"/>
  <c r="C9" i="17"/>
  <c r="F9" i="17" s="1"/>
  <c r="G13" i="16"/>
  <c r="H24" i="15"/>
  <c r="D9" i="15" l="1"/>
  <c r="C6" i="19" s="1"/>
  <c r="C28" i="19" s="1"/>
  <c r="C36" i="19"/>
  <c r="C31" i="19"/>
  <c r="C20" i="16"/>
  <c r="D20" i="16" s="1"/>
  <c r="E20" i="16" s="1"/>
  <c r="F20" i="16" s="1"/>
  <c r="D15" i="15"/>
  <c r="C13" i="19" s="1"/>
  <c r="C42" i="19" s="1"/>
  <c r="J38" i="19"/>
  <c r="J34" i="19"/>
  <c r="D19" i="19"/>
  <c r="I24" i="15"/>
  <c r="I8" i="14"/>
  <c r="I8" i="13" s="1"/>
  <c r="I6" i="13" s="1"/>
  <c r="I13" i="13" s="1"/>
  <c r="I15" i="13" s="1"/>
  <c r="I16" i="13" s="1"/>
  <c r="H7" i="14"/>
  <c r="H6" i="14" s="1"/>
  <c r="H5" i="14" s="1"/>
  <c r="I9" i="16" s="1"/>
  <c r="I7" i="16" s="1"/>
  <c r="G18" i="16"/>
  <c r="E8" i="15"/>
  <c r="D8" i="19" s="1"/>
  <c r="G6" i="14"/>
  <c r="G5" i="14" s="1"/>
  <c r="H9" i="16" s="1"/>
  <c r="H7" i="16" s="1"/>
  <c r="F36" i="16"/>
  <c r="C29" i="19" l="1"/>
  <c r="C37" i="19"/>
  <c r="D35" i="19"/>
  <c r="D48" i="19"/>
  <c r="C37" i="16"/>
  <c r="E37" i="16" s="1"/>
  <c r="F37" i="16" s="1"/>
  <c r="D16" i="19"/>
  <c r="C10" i="17"/>
  <c r="F10" i="17" s="1"/>
  <c r="H13" i="16"/>
  <c r="C11" i="17"/>
  <c r="F11" i="17" s="1"/>
  <c r="I13" i="16"/>
  <c r="I18" i="16" s="1"/>
  <c r="G20" i="16"/>
  <c r="I7" i="14"/>
  <c r="I6" i="14" s="1"/>
  <c r="I5" i="14" s="1"/>
  <c r="J9" i="16" s="1"/>
  <c r="J7" i="16" s="1"/>
  <c r="J8" i="14"/>
  <c r="J8" i="13" s="1"/>
  <c r="J6" i="13" s="1"/>
  <c r="J13" i="13" s="1"/>
  <c r="J15" i="13" s="1"/>
  <c r="J16" i="13" s="1"/>
  <c r="J24" i="15"/>
  <c r="E16" i="19" l="1"/>
  <c r="K8" i="14"/>
  <c r="K8" i="13" s="1"/>
  <c r="K6" i="13" s="1"/>
  <c r="K13" i="13" s="1"/>
  <c r="K15" i="13" s="1"/>
  <c r="K16" i="13" s="1"/>
  <c r="J7" i="14"/>
  <c r="C39" i="16"/>
  <c r="E39" i="16" s="1"/>
  <c r="J13" i="16"/>
  <c r="J18" i="16" s="1"/>
  <c r="C12" i="17"/>
  <c r="F12" i="17" s="1"/>
  <c r="H18" i="16"/>
  <c r="H20" i="16" s="1"/>
  <c r="I20" i="16" s="1"/>
  <c r="K24" i="15"/>
  <c r="E25" i="15"/>
  <c r="C38" i="16"/>
  <c r="E38" i="16" s="1"/>
  <c r="F38" i="16" s="1"/>
  <c r="F39" i="16" l="1"/>
  <c r="E19" i="19"/>
  <c r="E48" i="19" s="1"/>
  <c r="F8" i="15"/>
  <c r="E8" i="19" s="1"/>
  <c r="J6" i="14"/>
  <c r="J5" i="14" s="1"/>
  <c r="K9" i="16" s="1"/>
  <c r="K7" i="16" s="1"/>
  <c r="D12" i="19"/>
  <c r="E7" i="15"/>
  <c r="L8" i="14"/>
  <c r="L8" i="13" s="1"/>
  <c r="L6" i="13" s="1"/>
  <c r="L13" i="13" s="1"/>
  <c r="L15" i="13" s="1"/>
  <c r="L16" i="13" s="1"/>
  <c r="K7" i="14"/>
  <c r="K6" i="14" s="1"/>
  <c r="K5" i="14" s="1"/>
  <c r="L9" i="16" s="1"/>
  <c r="L7" i="16" s="1"/>
  <c r="C40" i="16"/>
  <c r="E40" i="16" s="1"/>
  <c r="J20" i="16"/>
  <c r="F40" i="16" l="1"/>
  <c r="E35" i="19"/>
  <c r="D21" i="19"/>
  <c r="D47" i="19"/>
  <c r="F25" i="15"/>
  <c r="L13" i="16"/>
  <c r="L18" i="16" s="1"/>
  <c r="C14" i="17"/>
  <c r="F14" i="17" s="1"/>
  <c r="D9" i="19"/>
  <c r="E9" i="15"/>
  <c r="M8" i="14"/>
  <c r="M8" i="13" s="1"/>
  <c r="M6" i="13" s="1"/>
  <c r="M13" i="13" s="1"/>
  <c r="M15" i="13" s="1"/>
  <c r="M16" i="13" s="1"/>
  <c r="L7" i="14"/>
  <c r="L6" i="14" s="1"/>
  <c r="L5" i="14" s="1"/>
  <c r="M9" i="16" s="1"/>
  <c r="M7" i="16" s="1"/>
  <c r="K13" i="16"/>
  <c r="K18" i="16" s="1"/>
  <c r="C13" i="17"/>
  <c r="F13" i="17" s="1"/>
  <c r="C42" i="16" l="1"/>
  <c r="E42" i="16" s="1"/>
  <c r="K20" i="16"/>
  <c r="L20" i="16" s="1"/>
  <c r="F7" i="15"/>
  <c r="D6" i="19"/>
  <c r="E15" i="15"/>
  <c r="D13" i="19" s="1"/>
  <c r="D36" i="19"/>
  <c r="D30" i="19"/>
  <c r="M13" i="16"/>
  <c r="M18" i="16" s="1"/>
  <c r="C15" i="17"/>
  <c r="F15" i="17" s="1"/>
  <c r="C41" i="16"/>
  <c r="E41" i="16" s="1"/>
  <c r="F41" i="16" s="1"/>
  <c r="N8" i="14"/>
  <c r="N8" i="13" s="1"/>
  <c r="N6" i="13" s="1"/>
  <c r="N13" i="13" s="1"/>
  <c r="N15" i="13" s="1"/>
  <c r="N16" i="13" s="1"/>
  <c r="F16" i="19"/>
  <c r="M7" i="14"/>
  <c r="E12" i="19"/>
  <c r="F19" i="19" l="1"/>
  <c r="F48" i="19" s="1"/>
  <c r="D42" i="19"/>
  <c r="D37" i="19"/>
  <c r="D45" i="19"/>
  <c r="E21" i="19"/>
  <c r="E47" i="19"/>
  <c r="D31" i="19"/>
  <c r="D28" i="19"/>
  <c r="D29" i="19"/>
  <c r="F42" i="16"/>
  <c r="O8" i="14"/>
  <c r="O8" i="13" s="1"/>
  <c r="O6" i="13" s="1"/>
  <c r="O13" i="13" s="1"/>
  <c r="O15" i="13" s="1"/>
  <c r="O16" i="13" s="1"/>
  <c r="N7" i="14"/>
  <c r="N6" i="14" s="1"/>
  <c r="N5" i="14" s="1"/>
  <c r="O9" i="16" s="1"/>
  <c r="O7" i="16" s="1"/>
  <c r="M20" i="16"/>
  <c r="G8" i="15"/>
  <c r="F8" i="19" s="1"/>
  <c r="M6" i="14"/>
  <c r="M5" i="14" s="1"/>
  <c r="N9" i="16" s="1"/>
  <c r="N7" i="16" s="1"/>
  <c r="C43" i="16"/>
  <c r="E43" i="16" s="1"/>
  <c r="F9" i="15"/>
  <c r="E9" i="19"/>
  <c r="F35" i="19" l="1"/>
  <c r="F43" i="16"/>
  <c r="G25" i="15"/>
  <c r="O13" i="16"/>
  <c r="O18" i="16" s="1"/>
  <c r="C17" i="17"/>
  <c r="F17" i="17" s="1"/>
  <c r="P8" i="14"/>
  <c r="P8" i="13" s="1"/>
  <c r="P6" i="13" s="1"/>
  <c r="P13" i="13" s="1"/>
  <c r="P15" i="13" s="1"/>
  <c r="P16" i="13" s="1"/>
  <c r="O7" i="14"/>
  <c r="O6" i="14" s="1"/>
  <c r="O5" i="14" s="1"/>
  <c r="P9" i="16" s="1"/>
  <c r="P7" i="16" s="1"/>
  <c r="N13" i="16"/>
  <c r="N18" i="16" s="1"/>
  <c r="C16" i="17"/>
  <c r="F16" i="17" s="1"/>
  <c r="E36" i="19"/>
  <c r="E30" i="19"/>
  <c r="E6" i="19"/>
  <c r="F15" i="15"/>
  <c r="E13" i="19" s="1"/>
  <c r="F12" i="19" l="1"/>
  <c r="F21" i="19" s="1"/>
  <c r="C45" i="16"/>
  <c r="E45" i="16" s="1"/>
  <c r="E31" i="19"/>
  <c r="E28" i="19"/>
  <c r="E29" i="19"/>
  <c r="C18" i="17"/>
  <c r="F18" i="17" s="1"/>
  <c r="P13" i="16"/>
  <c r="P18" i="16" s="1"/>
  <c r="E37" i="19"/>
  <c r="E42" i="19"/>
  <c r="E45" i="19"/>
  <c r="N20" i="16"/>
  <c r="O20" i="16" s="1"/>
  <c r="G7" i="15"/>
  <c r="Q8" i="14"/>
  <c r="Q8" i="13" s="1"/>
  <c r="Q6" i="13" s="1"/>
  <c r="Q13" i="13" s="1"/>
  <c r="Q15" i="13" s="1"/>
  <c r="Q16" i="13" s="1"/>
  <c r="P7" i="14"/>
  <c r="C44" i="16"/>
  <c r="E44" i="16" s="1"/>
  <c r="F44" i="16" s="1"/>
  <c r="F47" i="19" l="1"/>
  <c r="P20" i="16"/>
  <c r="F9" i="19"/>
  <c r="G9" i="15"/>
  <c r="F45" i="16"/>
  <c r="H8" i="15"/>
  <c r="G8" i="19" s="1"/>
  <c r="P6" i="14"/>
  <c r="P5" i="14" s="1"/>
  <c r="Q9" i="16" s="1"/>
  <c r="Q7" i="16" s="1"/>
  <c r="R8" i="14"/>
  <c r="R8" i="13" s="1"/>
  <c r="R6" i="13" s="1"/>
  <c r="R13" i="13" s="1"/>
  <c r="R15" i="13" s="1"/>
  <c r="R16" i="13" s="1"/>
  <c r="Q7" i="14"/>
  <c r="Q6" i="14" s="1"/>
  <c r="Q5" i="14" s="1"/>
  <c r="R9" i="16" s="1"/>
  <c r="R7" i="16" s="1"/>
  <c r="G19" i="19"/>
  <c r="R13" i="16" l="1"/>
  <c r="R18" i="16" s="1"/>
  <c r="C20" i="17"/>
  <c r="F20" i="17" s="1"/>
  <c r="C46" i="16"/>
  <c r="E46" i="16" s="1"/>
  <c r="F46" i="16" s="1"/>
  <c r="G16" i="19"/>
  <c r="S8" i="14"/>
  <c r="S8" i="13" s="1"/>
  <c r="S6" i="13" s="1"/>
  <c r="S13" i="13" s="1"/>
  <c r="S15" i="13" s="1"/>
  <c r="S16" i="13" s="1"/>
  <c r="R7" i="14"/>
  <c r="R6" i="14" s="1"/>
  <c r="R5" i="14" s="1"/>
  <c r="S9" i="16" s="1"/>
  <c r="S7" i="16" s="1"/>
  <c r="G48" i="19"/>
  <c r="G35" i="19"/>
  <c r="F6" i="19"/>
  <c r="G15" i="15"/>
  <c r="F13" i="19" s="1"/>
  <c r="Q13" i="16"/>
  <c r="Q18" i="16" s="1"/>
  <c r="C19" i="17"/>
  <c r="F19" i="17" s="1"/>
  <c r="F30" i="19"/>
  <c r="F36" i="19"/>
  <c r="S13" i="16" l="1"/>
  <c r="S18" i="16" s="1"/>
  <c r="C21" i="17"/>
  <c r="F21" i="17" s="1"/>
  <c r="C47" i="16"/>
  <c r="E47" i="16" s="1"/>
  <c r="F47" i="16" s="1"/>
  <c r="T8" i="14"/>
  <c r="T8" i="13" s="1"/>
  <c r="T6" i="13" s="1"/>
  <c r="T13" i="13" s="1"/>
  <c r="T15" i="13" s="1"/>
  <c r="T16" i="13" s="1"/>
  <c r="S7" i="14"/>
  <c r="H25" i="15"/>
  <c r="C48" i="16"/>
  <c r="E48" i="16" s="1"/>
  <c r="F42" i="19"/>
  <c r="F37" i="19"/>
  <c r="F45" i="19"/>
  <c r="Q20" i="16"/>
  <c r="R20" i="16" s="1"/>
  <c r="H7" i="15"/>
  <c r="F31" i="19"/>
  <c r="F29" i="19"/>
  <c r="F28" i="19"/>
  <c r="S20" i="16" l="1"/>
  <c r="T7" i="14"/>
  <c r="T6" i="14" s="1"/>
  <c r="T5" i="14" s="1"/>
  <c r="U9" i="16" s="1"/>
  <c r="U7" i="16" s="1"/>
  <c r="U8" i="14"/>
  <c r="U8" i="13" s="1"/>
  <c r="U6" i="13" s="1"/>
  <c r="U13" i="13" s="1"/>
  <c r="U15" i="13" s="1"/>
  <c r="U16" i="13" s="1"/>
  <c r="G12" i="19"/>
  <c r="H19" i="19"/>
  <c r="H9" i="15"/>
  <c r="G9" i="19"/>
  <c r="F48" i="16"/>
  <c r="I8" i="15"/>
  <c r="H8" i="19" s="1"/>
  <c r="S6" i="14"/>
  <c r="S5" i="14" s="1"/>
  <c r="T9" i="16" s="1"/>
  <c r="T7" i="16" s="1"/>
  <c r="H48" i="19" l="1"/>
  <c r="H35" i="19"/>
  <c r="U13" i="16"/>
  <c r="U18" i="16" s="1"/>
  <c r="C23" i="17"/>
  <c r="F23" i="17" s="1"/>
  <c r="C49" i="16"/>
  <c r="E49" i="16" s="1"/>
  <c r="F49" i="16" s="1"/>
  <c r="H16" i="19"/>
  <c r="G47" i="19"/>
  <c r="G21" i="19"/>
  <c r="G36" i="19"/>
  <c r="G30" i="19"/>
  <c r="V8" i="14"/>
  <c r="V8" i="13" s="1"/>
  <c r="V6" i="13" s="1"/>
  <c r="V13" i="13" s="1"/>
  <c r="V15" i="13" s="1"/>
  <c r="V16" i="13" s="1"/>
  <c r="U7" i="14"/>
  <c r="U6" i="14" s="1"/>
  <c r="U5" i="14" s="1"/>
  <c r="V9" i="16" s="1"/>
  <c r="V7" i="16" s="1"/>
  <c r="C22" i="17"/>
  <c r="F22" i="17" s="1"/>
  <c r="T13" i="16"/>
  <c r="T18" i="16" s="1"/>
  <c r="G6" i="19"/>
  <c r="H15" i="15"/>
  <c r="G13" i="19" s="1"/>
  <c r="C24" i="17" l="1"/>
  <c r="F24" i="17" s="1"/>
  <c r="V13" i="16"/>
  <c r="V18" i="16" s="1"/>
  <c r="G31" i="19"/>
  <c r="G29" i="19"/>
  <c r="G28" i="19"/>
  <c r="I7" i="15"/>
  <c r="T20" i="16"/>
  <c r="U20" i="16" s="1"/>
  <c r="I16" i="19"/>
  <c r="W8" i="14"/>
  <c r="W8" i="13" s="1"/>
  <c r="W6" i="13" s="1"/>
  <c r="W13" i="13" s="1"/>
  <c r="W15" i="13" s="1"/>
  <c r="W16" i="13" s="1"/>
  <c r="V7" i="14"/>
  <c r="G42" i="19"/>
  <c r="G37" i="19"/>
  <c r="I25" i="15"/>
  <c r="C50" i="16"/>
  <c r="E50" i="16" s="1"/>
  <c r="F50" i="16" s="1"/>
  <c r="C51" i="16"/>
  <c r="E51" i="16" s="1"/>
  <c r="G45" i="19"/>
  <c r="I19" i="19" l="1"/>
  <c r="I48" i="19" s="1"/>
  <c r="V20" i="16"/>
  <c r="F51" i="16"/>
  <c r="J8" i="15"/>
  <c r="I8" i="19" s="1"/>
  <c r="V6" i="14"/>
  <c r="V5" i="14" s="1"/>
  <c r="W9" i="16" s="1"/>
  <c r="W7" i="16" s="1"/>
  <c r="I9" i="15"/>
  <c r="H9" i="19"/>
  <c r="X8" i="14"/>
  <c r="X8" i="13" s="1"/>
  <c r="X6" i="13" s="1"/>
  <c r="X13" i="13" s="1"/>
  <c r="X15" i="13" s="1"/>
  <c r="X16" i="13" s="1"/>
  <c r="W7" i="14"/>
  <c r="H12" i="19"/>
  <c r="C52" i="16"/>
  <c r="E52" i="16" s="1"/>
  <c r="I35" i="19" l="1"/>
  <c r="W6" i="14"/>
  <c r="W5" i="14" s="1"/>
  <c r="X9" i="16" s="1"/>
  <c r="X7" i="16" s="1"/>
  <c r="C25" i="17"/>
  <c r="F25" i="17" s="1"/>
  <c r="W13" i="16"/>
  <c r="W18" i="16" s="1"/>
  <c r="J25" i="15"/>
  <c r="H6" i="19"/>
  <c r="I15" i="15"/>
  <c r="H13" i="19" s="1"/>
  <c r="H45" i="19" s="1"/>
  <c r="H21" i="19"/>
  <c r="H47" i="19"/>
  <c r="X7" i="14"/>
  <c r="X6" i="14" s="1"/>
  <c r="X5" i="14" s="1"/>
  <c r="Y9" i="16" s="1"/>
  <c r="Y7" i="16" s="1"/>
  <c r="Y8" i="14"/>
  <c r="Y8" i="13" s="1"/>
  <c r="Y6" i="13" s="1"/>
  <c r="Y13" i="13" s="1"/>
  <c r="Y15" i="13" s="1"/>
  <c r="Y16" i="13" s="1"/>
  <c r="F52" i="16"/>
  <c r="H36" i="19"/>
  <c r="H30" i="19"/>
  <c r="C54" i="16" l="1"/>
  <c r="E54" i="16" s="1"/>
  <c r="W20" i="16"/>
  <c r="J7" i="15"/>
  <c r="Y7" i="14"/>
  <c r="Y6" i="14" s="1"/>
  <c r="Y5" i="14" s="1"/>
  <c r="Z9" i="16" s="1"/>
  <c r="Z7" i="16" s="1"/>
  <c r="J16" i="19"/>
  <c r="H37" i="19"/>
  <c r="H42" i="19"/>
  <c r="C26" i="17"/>
  <c r="F26" i="17" s="1"/>
  <c r="X13" i="16"/>
  <c r="X18" i="16" s="1"/>
  <c r="C27" i="17"/>
  <c r="F27" i="17" s="1"/>
  <c r="Y13" i="16"/>
  <c r="Y18" i="16" s="1"/>
  <c r="H31" i="19"/>
  <c r="H28" i="19"/>
  <c r="H29" i="19"/>
  <c r="I12" i="19"/>
  <c r="C53" i="16"/>
  <c r="E53" i="16" s="1"/>
  <c r="F53" i="16" s="1"/>
  <c r="J19" i="19" l="1"/>
  <c r="J48" i="19" s="1"/>
  <c r="K8" i="15"/>
  <c r="J8" i="19" s="1"/>
  <c r="J9" i="15"/>
  <c r="I9" i="19"/>
  <c r="X20" i="16"/>
  <c r="Y20" i="16" s="1"/>
  <c r="C55" i="16"/>
  <c r="E55" i="16" s="1"/>
  <c r="F54" i="16"/>
  <c r="I21" i="19"/>
  <c r="I47" i="19"/>
  <c r="Z13" i="16"/>
  <c r="C28" i="17"/>
  <c r="F28" i="17" s="1"/>
  <c r="F29" i="17" s="1"/>
  <c r="F30" i="17" s="1"/>
  <c r="B23" i="16" l="1"/>
  <c r="B24" i="16"/>
  <c r="J35" i="19"/>
  <c r="F55" i="16"/>
  <c r="F56" i="16" s="1"/>
  <c r="F57" i="16" s="1"/>
  <c r="I36" i="19"/>
  <c r="I30" i="19"/>
  <c r="I6" i="19"/>
  <c r="I28" i="19" s="1"/>
  <c r="J15" i="15"/>
  <c r="I13" i="19" s="1"/>
  <c r="Z18" i="16"/>
  <c r="B22" i="16" s="1"/>
  <c r="K25" i="15"/>
  <c r="I31" i="19" l="1"/>
  <c r="I29" i="19"/>
  <c r="J12" i="19"/>
  <c r="I42" i="19"/>
  <c r="I37" i="19"/>
  <c r="I45" i="19"/>
  <c r="B21" i="16"/>
  <c r="K7" i="15"/>
  <c r="Z20" i="16"/>
  <c r="J21" i="19" l="1"/>
  <c r="J47" i="19"/>
  <c r="J9" i="19"/>
  <c r="K9" i="15"/>
  <c r="J6" i="19" l="1"/>
  <c r="J28" i="19" s="1"/>
  <c r="K15" i="15"/>
  <c r="J13" i="19" s="1"/>
  <c r="J30" i="19"/>
  <c r="J36" i="19"/>
  <c r="J37" i="19" l="1"/>
  <c r="J42" i="19"/>
  <c r="J45" i="19"/>
  <c r="J29" i="19"/>
  <c r="J31" i="19"/>
  <c r="B16" i="13" l="1"/>
  <c r="D27" i="15"/>
  <c r="D28" i="15" s="1"/>
  <c r="D25" i="15"/>
  <c r="C12" i="19" s="1"/>
  <c r="E26" i="15"/>
  <c r="E27" i="15" s="1"/>
  <c r="E28" i="15" l="1"/>
  <c r="D10" i="19"/>
  <c r="C21" i="19"/>
  <c r="C45" i="19"/>
  <c r="C47" i="19"/>
  <c r="F26" i="15"/>
  <c r="C10" i="19"/>
  <c r="C41" i="19" s="1"/>
  <c r="F27" i="15" l="1"/>
  <c r="G26" i="15"/>
  <c r="C46" i="19"/>
  <c r="D46" i="19"/>
  <c r="D41" i="19"/>
  <c r="G27" i="15" l="1"/>
  <c r="H26" i="15"/>
  <c r="E10" i="19"/>
  <c r="F28" i="15"/>
  <c r="H27" i="15" l="1"/>
  <c r="I26" i="15"/>
  <c r="E46" i="19"/>
  <c r="E41" i="19"/>
  <c r="F10" i="19"/>
  <c r="G28" i="15"/>
  <c r="I27" i="15" l="1"/>
  <c r="J26" i="15"/>
  <c r="F46" i="19"/>
  <c r="F41" i="19"/>
  <c r="H28" i="15"/>
  <c r="G10" i="19"/>
  <c r="G41" i="19" l="1"/>
  <c r="G46" i="19"/>
  <c r="J27" i="15"/>
  <c r="K26" i="15"/>
  <c r="K27" i="15" s="1"/>
  <c r="I28" i="15"/>
  <c r="H10" i="19"/>
  <c r="H46" i="19" l="1"/>
  <c r="H41" i="19"/>
  <c r="J10" i="19"/>
  <c r="K28" i="15"/>
  <c r="I10" i="19"/>
  <c r="J28" i="15"/>
  <c r="I41" i="19" l="1"/>
  <c r="I46" i="19"/>
  <c r="J46" i="19"/>
  <c r="J41" i="19"/>
</calcChain>
</file>

<file path=xl/comments1.xml><?xml version="1.0" encoding="utf-8"?>
<comments xmlns="http://schemas.openxmlformats.org/spreadsheetml/2006/main">
  <authors>
    <author>PC_14</author>
  </authors>
  <commentList>
    <comment ref="C20" authorId="0" shapeId="0">
      <text>
        <r>
          <rPr>
            <b/>
            <sz val="8"/>
            <color indexed="81"/>
            <rFont val="Tahoma"/>
            <family val="2"/>
          </rPr>
          <t>PC_14:</t>
        </r>
        <r>
          <rPr>
            <sz val="8"/>
            <color indexed="81"/>
            <rFont val="Tahoma"/>
            <family val="2"/>
          </rPr>
          <t xml:space="preserve">
ES LA RELACION Q EXISTE ENTRE LA MP Y EL %</t>
        </r>
      </text>
    </comment>
  </commentList>
</comments>
</file>

<file path=xl/comments2.xml><?xml version="1.0" encoding="utf-8"?>
<comments xmlns="http://schemas.openxmlformats.org/spreadsheetml/2006/main">
  <authors>
    <author>LUI KEN DE LA CRUZ, JORGE</author>
  </authors>
  <commentList>
    <comment ref="V49" authorId="0" shapeId="0">
      <text>
        <r>
          <rPr>
            <b/>
            <sz val="8"/>
            <color indexed="81"/>
            <rFont val="Tahoma"/>
            <family val="2"/>
          </rPr>
          <t>semana=6 dias no se considera sabado y domingo como especiales</t>
        </r>
      </text>
    </comment>
    <comment ref="W49" authorId="0" shapeId="0">
      <text>
        <r>
          <rPr>
            <sz val="8"/>
            <color indexed="81"/>
            <rFont val="Tahoma"/>
            <family val="2"/>
          </rPr>
          <t xml:space="preserve">semana= 4 dias x 4=16 dias
sabado y domingo= 8 dias
1 mes = 24 dias
</t>
        </r>
      </text>
    </comment>
  </commentList>
</comments>
</file>

<file path=xl/comments3.xml><?xml version="1.0" encoding="utf-8"?>
<comments xmlns="http://schemas.openxmlformats.org/spreadsheetml/2006/main">
  <authors>
    <author>LUI KEN DE LA CRUZ, JORGE</author>
  </authors>
  <commentList>
    <comment ref="I6" authorId="0" shapeId="0">
      <text>
        <r>
          <rPr>
            <b/>
            <sz val="8"/>
            <color indexed="81"/>
            <rFont val="Tahoma"/>
            <family val="2"/>
          </rPr>
          <t xml:space="preserve">Costo fijos / Margen ponderado X % de participacion
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 xml:space="preserve">Precio de venta X Punto equlibrio en unidades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9" authorId="0" shapeId="0">
      <text>
        <r>
          <rPr>
            <sz val="8"/>
            <color indexed="81"/>
            <rFont val="Tahoma"/>
            <family val="2"/>
          </rPr>
          <t>- Costos indirectos
- Gastos de Ventas
- Gastos de Administracion</t>
        </r>
      </text>
    </comment>
  </commentList>
</comments>
</file>

<file path=xl/sharedStrings.xml><?xml version="1.0" encoding="utf-8"?>
<sst xmlns="http://schemas.openxmlformats.org/spreadsheetml/2006/main" count="1252" uniqueCount="668">
  <si>
    <t>LOCALIZACION</t>
  </si>
  <si>
    <t>MUESTRA</t>
  </si>
  <si>
    <t xml:space="preserve">CRITERIO DE CALIFICACION PONDERADA </t>
  </si>
  <si>
    <t xml:space="preserve">CRITERIO </t>
  </si>
  <si>
    <t xml:space="preserve">PONDERADA </t>
  </si>
  <si>
    <t>Muy Bueno</t>
  </si>
  <si>
    <t>Bueno</t>
  </si>
  <si>
    <t>Regular</t>
  </si>
  <si>
    <t>Mediano Regular</t>
  </si>
  <si>
    <t>Malo</t>
  </si>
  <si>
    <t>Factor Locacional</t>
  </si>
  <si>
    <t>Peso  Relativo</t>
  </si>
  <si>
    <t>Av. 25 de Noviembre</t>
  </si>
  <si>
    <t>Calle Cajamarca</t>
  </si>
  <si>
    <t>Calle Moquegua</t>
  </si>
  <si>
    <t>Calificacion</t>
  </si>
  <si>
    <t>Ponderacion</t>
  </si>
  <si>
    <t xml:space="preserve">1.- Disponibilidad De Area  </t>
  </si>
  <si>
    <t>2.- Contaminacion Ambiental</t>
  </si>
  <si>
    <t>3.- Extencion del Local</t>
  </si>
  <si>
    <t xml:space="preserve">4.- Existencia de Energia Electrica </t>
  </si>
  <si>
    <t xml:space="preserve">5.- Zona Estrategica </t>
  </si>
  <si>
    <t xml:space="preserve">TOTAL </t>
  </si>
  <si>
    <t xml:space="preserve">INTERPRETACION DE LOS RESULTADOS Y DECISIÓN FINAL </t>
  </si>
  <si>
    <t xml:space="preserve">Se escoge la alterntiva de localizacion a nivel macro a la  Av. 25 de Noviembre  por tener una ponderacion mayor a las otras alternativas. En el caso que no se pudiera implementar en la Av. 25 de Noviembre se escoge la calle Cajamarca por estar en segundo lugar   </t>
  </si>
  <si>
    <t>EDADES</t>
  </si>
  <si>
    <t>HOMBRES</t>
  </si>
  <si>
    <t>MUJERES</t>
  </si>
  <si>
    <t>TOTAL</t>
  </si>
  <si>
    <t>PUBLICO OBJETIVO</t>
  </si>
  <si>
    <t>0 A 4</t>
  </si>
  <si>
    <t>5 A 9</t>
  </si>
  <si>
    <t>15 A 19</t>
  </si>
  <si>
    <t>10 A 14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</si>
  <si>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</si>
  <si>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</si>
  <si>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</si>
  <si>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</si>
  <si>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</si>
  <si>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</si>
  <si>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</si>
  <si>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</si>
  <si>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</si>
  <si>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</si>
  <si>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</si>
  <si>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 xml:space="preserve">75 A 79 </t>
  </si>
  <si>
    <t>80 A MAS</t>
  </si>
  <si>
    <t>ESTRUCTURA DE LA INVERSION</t>
  </si>
  <si>
    <t>RUBRO</t>
  </si>
  <si>
    <t>VALOR UNITARIO</t>
  </si>
  <si>
    <t>CANT.</t>
  </si>
  <si>
    <t>UNID.</t>
  </si>
  <si>
    <t>COSTO TOTAL</t>
  </si>
  <si>
    <t>I. ACTIVO FIJO</t>
  </si>
  <si>
    <t>A. TANGIBLES</t>
  </si>
  <si>
    <t>Terreno y/o infraestructura</t>
  </si>
  <si>
    <t>Acondicionamiento del local</t>
  </si>
  <si>
    <t>Maquinaria y/o equipos</t>
  </si>
  <si>
    <t xml:space="preserve">REFRIGERADORA </t>
  </si>
  <si>
    <t>Unidad</t>
  </si>
  <si>
    <t>TELEVISOR</t>
  </si>
  <si>
    <t>LICUADORA OSTER</t>
  </si>
  <si>
    <t>EQUIPO DE SONIDO C/ 4 PARLANTES LG</t>
  </si>
  <si>
    <t>LAPTOP TOSHIBA</t>
  </si>
  <si>
    <t>Utencilios y Herramientas</t>
  </si>
  <si>
    <t>BANDEJAS</t>
  </si>
  <si>
    <t>JARRA 1 LT</t>
  </si>
  <si>
    <t>COCTELERA</t>
  </si>
  <si>
    <t>VASO TEQUILERO</t>
  </si>
  <si>
    <t>HIELERA</t>
  </si>
  <si>
    <t>PINZA PARA HIELO</t>
  </si>
  <si>
    <t>MEDIDOR DE LICOR</t>
  </si>
  <si>
    <t>SACA CORCHO</t>
  </si>
  <si>
    <t>EXPRIMIDOR DE LIMON</t>
  </si>
  <si>
    <t>COPAS</t>
  </si>
  <si>
    <t>VASOS</t>
  </si>
  <si>
    <t>CENICERO</t>
  </si>
  <si>
    <t>Muebles y enseres</t>
  </si>
  <si>
    <t>MESAS</t>
  </si>
  <si>
    <t>SILLAS</t>
  </si>
  <si>
    <t>BARRA</t>
  </si>
  <si>
    <t>TOTAL TANGIBLES</t>
  </si>
  <si>
    <t>B. INTANGIBLES</t>
  </si>
  <si>
    <t>COMPROBANTES DE PAGO</t>
  </si>
  <si>
    <t>millar</t>
  </si>
  <si>
    <t>LIC. DE FUNCIONAMIENTO</t>
  </si>
  <si>
    <t>documento</t>
  </si>
  <si>
    <t>LIC. DE PUBLICIDAD</t>
  </si>
  <si>
    <t>SUNAT (GRATUITO)</t>
  </si>
  <si>
    <t>ELABORACION DE PLAN DE NEGOCIOS</t>
  </si>
  <si>
    <t>SEPARACION DE NOMBRE COMERCIAL</t>
  </si>
  <si>
    <t>ELABORACION DE ESTATUTO</t>
  </si>
  <si>
    <t>NOTARIA</t>
  </si>
  <si>
    <t>INSCRIPCION DE REGUSTROS PUBLICOS</t>
  </si>
  <si>
    <t>DEFENSA CIVIL</t>
  </si>
  <si>
    <t>EXTINTOR</t>
  </si>
  <si>
    <t>BOTIQUIN</t>
  </si>
  <si>
    <t>TOTAL INTANGIBLES</t>
  </si>
  <si>
    <t>TOTAL ACTIVO FIJO</t>
  </si>
  <si>
    <t>II. CAPITAL DE TRABAJO</t>
  </si>
  <si>
    <t>TOTAL CAPITAL DE TRABAJO</t>
  </si>
  <si>
    <t>TOTAL COSTOS</t>
  </si>
  <si>
    <t>FUENTE: ELABORACION PROPIA</t>
  </si>
  <si>
    <t>CERVEZA</t>
  </si>
  <si>
    <t>n</t>
  </si>
  <si>
    <t>muestra</t>
  </si>
  <si>
    <t>N</t>
  </si>
  <si>
    <t>poblacion</t>
  </si>
  <si>
    <t>Z</t>
  </si>
  <si>
    <t>porcentaje de confianza 95%</t>
  </si>
  <si>
    <t>p</t>
  </si>
  <si>
    <t>variabilidad positiva</t>
  </si>
  <si>
    <t>q</t>
  </si>
  <si>
    <t>variabilidad negativa</t>
  </si>
  <si>
    <t>E</t>
  </si>
  <si>
    <t>porcentaje de error 5%</t>
  </si>
  <si>
    <t>n=</t>
  </si>
  <si>
    <t>LITRO</t>
  </si>
  <si>
    <t>PISCO</t>
  </si>
  <si>
    <t>GASEOSA SPRITE</t>
  </si>
  <si>
    <t>VINO</t>
  </si>
  <si>
    <t>RON</t>
  </si>
  <si>
    <t>CAIPIRINHA</t>
  </si>
  <si>
    <t>SANGRIA</t>
  </si>
  <si>
    <t>PISCO SOUR</t>
  </si>
  <si>
    <t>CHILCANO</t>
  </si>
  <si>
    <t>MACHU PICCHU</t>
  </si>
  <si>
    <t>PIÑA COLADA</t>
  </si>
  <si>
    <t>TEQUILA</t>
  </si>
  <si>
    <t>MARGARITA</t>
  </si>
  <si>
    <t>WHISKY</t>
  </si>
  <si>
    <t>Nº</t>
  </si>
  <si>
    <t>PRODUCTO</t>
  </si>
  <si>
    <t>COSTO DE PRODUCCION</t>
  </si>
  <si>
    <t>PRECIO DE VENTA</t>
  </si>
  <si>
    <t>INGREDIENTES</t>
  </si>
  <si>
    <t>UNIDAD DE MEDIDA</t>
  </si>
  <si>
    <t>CANTIDAD</t>
  </si>
  <si>
    <t>COSTO UNITARIO</t>
  </si>
  <si>
    <t>POR JARRA</t>
  </si>
  <si>
    <t>POR VASO</t>
  </si>
  <si>
    <t>BOTELLA</t>
  </si>
  <si>
    <t>PARA PARA</t>
  </si>
  <si>
    <t>LEVANTATE LAZARO</t>
  </si>
  <si>
    <t>ROMPE CALZON</t>
  </si>
  <si>
    <t>S.V.S.S.</t>
  </si>
  <si>
    <t>LT</t>
  </si>
  <si>
    <t>CACHAÇA</t>
  </si>
  <si>
    <t>AZUCAR</t>
  </si>
  <si>
    <t>KG</t>
  </si>
  <si>
    <t>HIELO</t>
  </si>
  <si>
    <t>LIMON</t>
  </si>
  <si>
    <t>UNIDAD</t>
  </si>
  <si>
    <t>VINO TINTO</t>
  </si>
  <si>
    <t>JARABE DE GOMA</t>
  </si>
  <si>
    <t>JUGO DE NARANJA</t>
  </si>
  <si>
    <t>FRUTA PICADA</t>
  </si>
  <si>
    <t>HUEVO</t>
  </si>
  <si>
    <t>PIÑA</t>
  </si>
  <si>
    <t>NARANJA</t>
  </si>
  <si>
    <t>AMARGO DE ANGOSTURA</t>
  </si>
  <si>
    <t>GRANADINA</t>
  </si>
  <si>
    <t>MENTA</t>
  </si>
  <si>
    <t>LECHE DE COCO</t>
  </si>
  <si>
    <t>SAL</t>
  </si>
  <si>
    <t>COPA</t>
  </si>
  <si>
    <t>1/2 LITRO</t>
  </si>
  <si>
    <t>PROYECCION DE SERVICIOS REALIZADOS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</si>
  <si>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</si>
  <si>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</si>
  <si>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</si>
  <si>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</si>
  <si>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</si>
  <si>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</si>
  <si>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</si>
  <si>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</si>
  <si>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</si>
  <si>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</si>
  <si>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</si>
  <si>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</si>
  <si>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</si>
  <si>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</si>
  <si>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</si>
  <si>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</si>
  <si>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</si>
  <si>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</si>
  <si>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</si>
  <si>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</si>
  <si>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</si>
  <si>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</si>
  <si>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</si>
  <si>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</si>
  <si>
    <t>PROYECCION DE VENTAS</t>
  </si>
  <si>
    <t>P. U.</t>
  </si>
  <si>
    <t>TOTAL VENTAS</t>
  </si>
  <si>
    <t>N°</t>
  </si>
  <si>
    <t>Botella</t>
  </si>
  <si>
    <t>Jarra</t>
  </si>
  <si>
    <t>MANO DE OBRA DIRECTA</t>
  </si>
  <si>
    <t>DESCRIPCION</t>
  </si>
  <si>
    <t>SUELDO MES</t>
  </si>
  <si>
    <t>APORTACION</t>
  </si>
  <si>
    <t>SUELDO MES TOTAL</t>
  </si>
  <si>
    <t>CONCEPTO</t>
  </si>
  <si>
    <t>MES</t>
  </si>
  <si>
    <t>CAJERO</t>
  </si>
  <si>
    <t>BARMAN</t>
  </si>
  <si>
    <t>MOZO</t>
  </si>
  <si>
    <t>SEGURIDAD</t>
  </si>
  <si>
    <t>D.J.</t>
  </si>
  <si>
    <t>TOTAL PLANILLA</t>
  </si>
  <si>
    <t>Total</t>
  </si>
  <si>
    <t>APORTES A PAGAR</t>
  </si>
  <si>
    <t>%</t>
  </si>
  <si>
    <t>AFP</t>
  </si>
  <si>
    <t>ESSALUD</t>
  </si>
  <si>
    <t>MANO DE OBRA INDIRECTA</t>
  </si>
  <si>
    <t>GERENTE GENERAL</t>
  </si>
  <si>
    <t>Total Mano de Obra</t>
  </si>
  <si>
    <t>COSTOS Y GASTOS INDIRECTOS</t>
  </si>
  <si>
    <t>Costo Indirecto y Gastos Administrativos</t>
  </si>
  <si>
    <t>alquiler de local</t>
  </si>
  <si>
    <t>Luz y agua</t>
  </si>
  <si>
    <t>Telefono+internet</t>
  </si>
  <si>
    <t>Gastos de venta</t>
  </si>
  <si>
    <t>volantes</t>
  </si>
  <si>
    <t>ciento</t>
  </si>
  <si>
    <t>Publicidad en radio</t>
  </si>
  <si>
    <t>avisos</t>
  </si>
  <si>
    <t>Banner</t>
  </si>
  <si>
    <t>Pagina Web y cuenta de Facebook</t>
  </si>
  <si>
    <t>TOTAL GASTOS INDIRECTOS</t>
  </si>
  <si>
    <t xml:space="preserve">* Se considera un 60% del Costo indirecto y un 40% del Gasto Administrativo, en los rubros: </t>
  </si>
  <si>
    <t>alquiler de local, servicios básicos, mantenimiento del local.</t>
  </si>
  <si>
    <t>Mantenimiento del local y equipos</t>
  </si>
  <si>
    <t>DEPRECIACION DE MAQUINARIA MUEBLES Y ENSERES</t>
  </si>
  <si>
    <t>RESUMEN</t>
  </si>
  <si>
    <t>CANT</t>
  </si>
  <si>
    <t>VIDA UTIL (MESES)</t>
  </si>
  <si>
    <t>DEPRECIACION MES</t>
  </si>
  <si>
    <t>MAQUINARIA Y EQUIPOS</t>
  </si>
  <si>
    <t>TANGIBLES</t>
  </si>
  <si>
    <t>UTENCILIOS Y HERRAMIENTAS</t>
  </si>
  <si>
    <t>MUEBLES Y ENSERES</t>
  </si>
  <si>
    <t>DEPRECIACION MENSUAL</t>
  </si>
  <si>
    <t>INTANGIBLES</t>
  </si>
  <si>
    <t>PRESUPUESTO DE GASTOS</t>
  </si>
  <si>
    <t>GASTOS OPERATIVOS</t>
  </si>
  <si>
    <t>A.- COSTOS DIRECTOS</t>
  </si>
  <si>
    <t>I. MATERIALES USADOS</t>
  </si>
  <si>
    <t>Reposicion de implementos</t>
  </si>
  <si>
    <t>II. MANO DE OBRA DIRECTA</t>
  </si>
  <si>
    <t xml:space="preserve">Sueldos </t>
  </si>
  <si>
    <t>Gratificaciones</t>
  </si>
  <si>
    <t>B.- COSTOS INDIRECTOS</t>
  </si>
  <si>
    <t>Materiales Indirectos fact.papel.</t>
  </si>
  <si>
    <t>Alquiler del local</t>
  </si>
  <si>
    <t>Garantia - mes adelantado</t>
  </si>
  <si>
    <t>GASTOS DE OPERACIÓN</t>
  </si>
  <si>
    <t>A.- GASTOS DE VENTAS</t>
  </si>
  <si>
    <t>banner</t>
  </si>
  <si>
    <t>Diseño de Cuenta de Facebook y pagina de Internet</t>
  </si>
  <si>
    <t>B.- GASTOS ADMINISTRACION</t>
  </si>
  <si>
    <t>Planilla de Empleados</t>
  </si>
  <si>
    <t>Depreciación</t>
  </si>
  <si>
    <t>ESTADO DE PÉRDIDAS Y GANANCIAS</t>
  </si>
  <si>
    <t>A. INGRESOS</t>
  </si>
  <si>
    <t>B. COSTOS</t>
  </si>
  <si>
    <t>Mano de obra directa</t>
  </si>
  <si>
    <t>Reposicion de materiales usados</t>
  </si>
  <si>
    <t>Costos Indirectos</t>
  </si>
  <si>
    <t>Administración</t>
  </si>
  <si>
    <t>Ventas</t>
  </si>
  <si>
    <t>Depreciación equipo</t>
  </si>
  <si>
    <t>C. UTILIDAD BRUTA</t>
  </si>
  <si>
    <t>D. IMPUESTOS</t>
  </si>
  <si>
    <t>UTILIDAD NETA</t>
  </si>
  <si>
    <t>RENTABILIDAD DE VENTAS ((UTILIDAD NETA/INGRESOS)*100)</t>
  </si>
  <si>
    <t>BALANCE GENERAL</t>
  </si>
  <si>
    <t>Estado de Situación Financiera Balance General</t>
  </si>
  <si>
    <t>1ER TRIMESTRE</t>
  </si>
  <si>
    <t>2DO TRIMESTRE</t>
  </si>
  <si>
    <t>3ER TRIMESTRE</t>
  </si>
  <si>
    <t>4TO TRIMESTRE</t>
  </si>
  <si>
    <t>5TO TRIMESTRE</t>
  </si>
  <si>
    <t>6TO TRIMESTRE</t>
  </si>
  <si>
    <t>7MO TRIMESTRE</t>
  </si>
  <si>
    <t>8VO TRIMESTRE</t>
  </si>
  <si>
    <t>ACTIVO/</t>
  </si>
  <si>
    <t>Activo Corriente/</t>
  </si>
  <si>
    <t>1.1.1</t>
  </si>
  <si>
    <t>CyB</t>
  </si>
  <si>
    <t>Caja y Bancos/</t>
  </si>
  <si>
    <t>1.1.2</t>
  </si>
  <si>
    <t>Exit</t>
  </si>
  <si>
    <t>Existencias/</t>
  </si>
  <si>
    <t>TOTAL ACTIVO CORRIENTE/</t>
  </si>
  <si>
    <t>1.2.</t>
  </si>
  <si>
    <t>Activo No Corriente/</t>
  </si>
  <si>
    <t>1.2.1</t>
  </si>
  <si>
    <t>IME</t>
  </si>
  <si>
    <t>Inmueble Maquinaria y Eq</t>
  </si>
  <si>
    <t>1.2.2</t>
  </si>
  <si>
    <t>AIN</t>
  </si>
  <si>
    <t>Activos Intangibles (neto)/</t>
  </si>
  <si>
    <t>1.2.3</t>
  </si>
  <si>
    <t>DEPR</t>
  </si>
  <si>
    <t>Depreciacion Acumulada /</t>
  </si>
  <si>
    <t>TOTAL ACTIVO NO CORRIENTE/</t>
  </si>
  <si>
    <t>TOTAL ACTIVO/</t>
  </si>
  <si>
    <t>PASIVO Y PATRIMONIO</t>
  </si>
  <si>
    <t>Pasivo Corriente/</t>
  </si>
  <si>
    <t>2.1.1</t>
  </si>
  <si>
    <t>TribxP</t>
  </si>
  <si>
    <t>Tributos por Pagar</t>
  </si>
  <si>
    <t>2.1.2</t>
  </si>
  <si>
    <t>CPPC</t>
  </si>
  <si>
    <t>Cuentas por Pagar Comerciales/</t>
  </si>
  <si>
    <t>2.1.3</t>
  </si>
  <si>
    <t>CPPER</t>
  </si>
  <si>
    <t>Cuentas por Pagar a Entidades Financieras/</t>
  </si>
  <si>
    <t>TOTAL PASIVO CORRIENTE/</t>
  </si>
  <si>
    <t>TOTAL PASIVO/</t>
  </si>
  <si>
    <t>PATRIMONIO NETO/</t>
  </si>
  <si>
    <t>2.4.1</t>
  </si>
  <si>
    <t>Capi</t>
  </si>
  <si>
    <t>Capital/</t>
  </si>
  <si>
    <t>2.4.6</t>
  </si>
  <si>
    <t>Util</t>
  </si>
  <si>
    <t>Utilidad del Ejercicio</t>
  </si>
  <si>
    <t>2.4.7</t>
  </si>
  <si>
    <t>ORC</t>
  </si>
  <si>
    <t>Utilidad de Trimestres pasados</t>
  </si>
  <si>
    <t>TOTAL PATRIMONIO NETO/</t>
  </si>
  <si>
    <t>TOTAL PASIVO Y PATRIMONIO NETO/</t>
  </si>
  <si>
    <t>EVALUACION COSTO - BENEFICIO</t>
  </si>
  <si>
    <t>MESES</t>
  </si>
  <si>
    <t>INGRESOS</t>
  </si>
  <si>
    <t>COSTOS</t>
  </si>
  <si>
    <t>INGRESOS ACTUALIZADOS</t>
  </si>
  <si>
    <t>COSTOS ACTUALIZADOS</t>
  </si>
  <si>
    <t>B/C</t>
  </si>
  <si>
    <t>PUNTO DE EQUILIBRIO</t>
  </si>
  <si>
    <t>RATIOS FINANCIEROS</t>
  </si>
  <si>
    <t>ABREV</t>
  </si>
  <si>
    <t>PRINCIPALES CTAS</t>
  </si>
  <si>
    <t>AC</t>
  </si>
  <si>
    <t>Activo Corriente</t>
  </si>
  <si>
    <t>PC</t>
  </si>
  <si>
    <t>Pasivo Corriente</t>
  </si>
  <si>
    <t>Existencias</t>
  </si>
  <si>
    <t>Caja y Bancos</t>
  </si>
  <si>
    <t>Patri</t>
  </si>
  <si>
    <t>Patrimonio</t>
  </si>
  <si>
    <t>PNC</t>
  </si>
  <si>
    <t>Pasivo No Corriente</t>
  </si>
  <si>
    <t>UN</t>
  </si>
  <si>
    <t>Utilidad Neta</t>
  </si>
  <si>
    <t>TA</t>
  </si>
  <si>
    <t>Total Activo</t>
  </si>
  <si>
    <t>TP</t>
  </si>
  <si>
    <t>Total Pasivo</t>
  </si>
  <si>
    <t>UB</t>
  </si>
  <si>
    <t>Utilidad Bruta</t>
  </si>
  <si>
    <t>VN</t>
  </si>
  <si>
    <t>Ventas Netas</t>
  </si>
  <si>
    <t>CPCC</t>
  </si>
  <si>
    <t>Cuentas por Cobrar Comerciales</t>
  </si>
  <si>
    <t>CV</t>
  </si>
  <si>
    <t>Costo de Ventas</t>
  </si>
  <si>
    <t>AF</t>
  </si>
  <si>
    <t>Activo fijo</t>
  </si>
  <si>
    <t>UAI</t>
  </si>
  <si>
    <t>Utilidad antes de los impuestos</t>
  </si>
  <si>
    <t>GF</t>
  </si>
  <si>
    <t>Gastos financieros</t>
  </si>
  <si>
    <t>GO</t>
  </si>
  <si>
    <t>Gastos operacionales</t>
  </si>
  <si>
    <t>CS</t>
  </si>
  <si>
    <t>Capital social</t>
  </si>
  <si>
    <t>1. RATIOS DE LIQUIDEZ</t>
  </si>
  <si>
    <t>Liquidez General (AC/PC)</t>
  </si>
  <si>
    <t>Prueba Acida ( (AC-EXIS)/PC)</t>
  </si>
  <si>
    <t>Prueba Defensiva (CB/PC)</t>
  </si>
  <si>
    <t>Capital de Trabajo (AC-PC)</t>
  </si>
  <si>
    <t>2. RATIOS DE GESTION O ACTIVIDAD</t>
  </si>
  <si>
    <t>Rotacion de Inmueble Maquinaria y Equipo</t>
  </si>
  <si>
    <t>Rotacion de existencias</t>
  </si>
  <si>
    <t>Rotacion de caja y bancos</t>
  </si>
  <si>
    <t>Rotacion de activos totales</t>
  </si>
  <si>
    <t>Rotacion de activo fijo</t>
  </si>
  <si>
    <t>3. RATIOS DE SOLVENCIA O APALANCAMIENTO</t>
  </si>
  <si>
    <t>Estructura de capital(Pasivo total/Patrimonio)</t>
  </si>
  <si>
    <t>Endeudamiento total</t>
  </si>
  <si>
    <t>4. RATIOS DE RENTABILIDAD</t>
  </si>
  <si>
    <t>Rentabilidad sobre la inversion</t>
  </si>
  <si>
    <t>Rentabilidad sobre el patrimonio</t>
  </si>
  <si>
    <t>Rentabilidad sobre ventas</t>
  </si>
  <si>
    <t>Margen comercial</t>
  </si>
  <si>
    <t>CUADRO DE RATIOS</t>
  </si>
  <si>
    <t>FLUJO ECONÓMICO ‑ FINANCIERO</t>
  </si>
  <si>
    <t>COK</t>
  </si>
  <si>
    <t>Inversión</t>
  </si>
  <si>
    <t>Costos de Producción (1)</t>
  </si>
  <si>
    <t>Gastos de Ventas</t>
  </si>
  <si>
    <t>Gastos Administrativos (2)</t>
  </si>
  <si>
    <t>FLUJO ECONÓMICO</t>
  </si>
  <si>
    <t>Préstamo</t>
  </si>
  <si>
    <t>Amortización</t>
  </si>
  <si>
    <t>Intereses</t>
  </si>
  <si>
    <t>FLUJO FINANCIERO</t>
  </si>
  <si>
    <t>Aporte propio</t>
  </si>
  <si>
    <t>Saldo acumulado</t>
  </si>
  <si>
    <t>TIRF</t>
  </si>
  <si>
    <t>VANF</t>
  </si>
  <si>
    <t xml:space="preserve">TIR </t>
  </si>
  <si>
    <t xml:space="preserve">VAN </t>
  </si>
  <si>
    <t>PRI</t>
  </si>
  <si>
    <t>INVERSION</t>
  </si>
  <si>
    <t>BENEFICIO NETO</t>
  </si>
  <si>
    <t>FACT.ACTUA</t>
  </si>
  <si>
    <t>BEN.NET.ACT</t>
  </si>
  <si>
    <t>BEN.NET.ACU</t>
  </si>
  <si>
    <t>PROMEDIO</t>
  </si>
  <si>
    <t>FUENTES DE FINANCIAMIENTO</t>
  </si>
  <si>
    <t>FUENTE</t>
  </si>
  <si>
    <t>DESTINO</t>
  </si>
  <si>
    <t>INVERSION FIJA</t>
  </si>
  <si>
    <t>CAPITAL DE TRABAJO</t>
  </si>
  <si>
    <t>APORTE PROPIO</t>
  </si>
  <si>
    <t>PRESTAMO</t>
  </si>
  <si>
    <t>AMORTIZACION</t>
  </si>
  <si>
    <t>RESUMEN PRESTAMO</t>
  </si>
  <si>
    <t>ENTIDAD</t>
  </si>
  <si>
    <t>CAJA AREQUIPA</t>
  </si>
  <si>
    <t>MONTO</t>
  </si>
  <si>
    <t xml:space="preserve">BCP </t>
  </si>
  <si>
    <t>TEA</t>
  </si>
  <si>
    <t>FINACIERA EDYFICAR</t>
  </si>
  <si>
    <t>PLAZO</t>
  </si>
  <si>
    <t>SEG DESG</t>
  </si>
  <si>
    <t>TEM</t>
  </si>
  <si>
    <t>TEM SEG DES</t>
  </si>
  <si>
    <t>TEM TOTAL</t>
  </si>
  <si>
    <t>CUOTA</t>
  </si>
  <si>
    <t>FUENTE:ELABORACION PROPIA</t>
  </si>
  <si>
    <t>CRONOGRAMA DE PAGOS</t>
  </si>
  <si>
    <t>SALDO</t>
  </si>
  <si>
    <t>AMORT.</t>
  </si>
  <si>
    <t>INTERES</t>
  </si>
  <si>
    <t>TOTAL PAGO</t>
  </si>
  <si>
    <t>ORGANIGRAMA</t>
  </si>
  <si>
    <t>CROQUIS</t>
  </si>
  <si>
    <t>INVERSION TOTAL</t>
  </si>
  <si>
    <t>FINANCIAMIENTO</t>
  </si>
  <si>
    <t>INGRESOS POR VENTAS</t>
  </si>
  <si>
    <t>PLANILLA DE EMPLEADOS</t>
  </si>
  <si>
    <t>GASTOS INDIRECTOS</t>
  </si>
  <si>
    <t>DEPRECIACION DE EQUIPOS</t>
  </si>
  <si>
    <t>ESTADO DE GANANCIAS Y PERDIDAS</t>
  </si>
  <si>
    <t>FLUJO DE CAJA ECONOMICO FINANCIERO</t>
  </si>
  <si>
    <t>EVALUACION COSTO BENEFICIO</t>
  </si>
  <si>
    <t>PRINCIPALES RATIOS</t>
  </si>
  <si>
    <t>ENCUESTA</t>
  </si>
  <si>
    <t>INDICE</t>
  </si>
  <si>
    <t>RELACION DE INSUMOS</t>
  </si>
  <si>
    <t>lt</t>
  </si>
  <si>
    <t xml:space="preserve">LICOR DE NARANJA </t>
  </si>
  <si>
    <t>1 BOTELLA DE CERVEZA</t>
  </si>
  <si>
    <t>Ingredientes</t>
  </si>
  <si>
    <t>S/.</t>
  </si>
  <si>
    <t xml:space="preserve"> Botella/Cerveza</t>
  </si>
  <si>
    <t>1 JARRA DE PISCO</t>
  </si>
  <si>
    <t>400 mililitros /pisco</t>
  </si>
  <si>
    <t>450 mililitros/gaseosa SP</t>
  </si>
  <si>
    <t>150 gramos/hielo</t>
  </si>
  <si>
    <t>50 gramos / limon</t>
  </si>
  <si>
    <t xml:space="preserve">1 JARRA DE VINO </t>
  </si>
  <si>
    <t>litro/vino</t>
  </si>
  <si>
    <t xml:space="preserve">1 JARRA DE RON </t>
  </si>
  <si>
    <t>litro/Ron</t>
  </si>
  <si>
    <t>1 JARRA DE CAIPIRINHA</t>
  </si>
  <si>
    <t>200 gramos/azucar</t>
  </si>
  <si>
    <t>1 JARRA DE SANGRIA</t>
  </si>
  <si>
    <t xml:space="preserve"> 400 mililitros/vino tinto</t>
  </si>
  <si>
    <t>1 onsa/pisco</t>
  </si>
  <si>
    <t>2 onsas /jarabe de goma</t>
  </si>
  <si>
    <t>50 gramos /fruta picada</t>
  </si>
  <si>
    <t>200 mililitros  / jugo de naranja</t>
  </si>
  <si>
    <t>1 JARRA DE PISCO SOUR</t>
  </si>
  <si>
    <t>300 mililitros/pisco</t>
  </si>
  <si>
    <t>300gramos/limon</t>
  </si>
  <si>
    <t>100 gramos/huevo</t>
  </si>
  <si>
    <t>2 onsas / jarabe de goma</t>
  </si>
  <si>
    <t>1 JARRA DE  CHILCANO</t>
  </si>
  <si>
    <t>350 mililitros/pisco</t>
  </si>
  <si>
    <t>100gramos/piña</t>
  </si>
  <si>
    <t>200 gramos/naranja</t>
  </si>
  <si>
    <t>100 gramos / limon</t>
  </si>
  <si>
    <t>2 onsas / amargo de angostura</t>
  </si>
  <si>
    <t>1 JARRA DE MACHU PICCHU</t>
  </si>
  <si>
    <t>400 mililitros/jugo de naranja</t>
  </si>
  <si>
    <t>1 onsas/granadina</t>
  </si>
  <si>
    <t>2 onsas/menta</t>
  </si>
  <si>
    <t>1 BOTELLA DE WHISKY</t>
  </si>
  <si>
    <t xml:space="preserve"> 750 mililitros /whisky</t>
  </si>
  <si>
    <t xml:space="preserve"> 200 gramos / hielo</t>
  </si>
  <si>
    <t>1 JARRA  DE PARA PARA</t>
  </si>
  <si>
    <t xml:space="preserve"> 800  mililitros /para para</t>
  </si>
  <si>
    <t xml:space="preserve"> 200 gramos /hielo</t>
  </si>
  <si>
    <t>1 JARRA  DE LEVANTATE LAZARO</t>
  </si>
  <si>
    <t xml:space="preserve"> 800 mililitros / levantate lazaro</t>
  </si>
  <si>
    <t>1 JARRA  DE ROMPE CALZON</t>
  </si>
  <si>
    <t xml:space="preserve"> 800 / rompe calzon </t>
  </si>
  <si>
    <t>1 JARRA  S.V.S.S</t>
  </si>
  <si>
    <t xml:space="preserve"> 800 mililitros/ S.V.S.S </t>
  </si>
  <si>
    <t>250mililitros / pisco</t>
  </si>
  <si>
    <t>1 onsas / amargo de angostura</t>
  </si>
  <si>
    <t>1 JARRA DE  PIÑA COLADA</t>
  </si>
  <si>
    <t>1 onsas/ ron</t>
  </si>
  <si>
    <t>2 onsas/leche de coco</t>
  </si>
  <si>
    <t>500  kg / piña</t>
  </si>
  <si>
    <t>150 gramos/ hielo</t>
  </si>
  <si>
    <t>1 JARRA DE TEQUILA</t>
  </si>
  <si>
    <t>800 militros/ tequila</t>
  </si>
  <si>
    <t>1 JARRA DE  MARGARITA</t>
  </si>
  <si>
    <t>50 gramos  /sal de grano</t>
  </si>
  <si>
    <t xml:space="preserve">1 onsas / tequila </t>
  </si>
  <si>
    <t>TRAGOS</t>
  </si>
  <si>
    <t>Costo de preduccion por Jarra</t>
  </si>
  <si>
    <t>C.R. + 18%</t>
  </si>
  <si>
    <t>Precio</t>
  </si>
  <si>
    <t>Margen de ganancia</t>
  </si>
  <si>
    <t>Costo de preduccion por Copa</t>
  </si>
  <si>
    <t>Mano de obra directa e indirecta</t>
  </si>
  <si>
    <t>Gastos indirectos</t>
  </si>
  <si>
    <t>RECURSOS VARIOS</t>
  </si>
  <si>
    <t>1 día (15 Mesas)</t>
  </si>
  <si>
    <t>1 mesa</t>
  </si>
  <si>
    <t>15 mesas</t>
  </si>
  <si>
    <t>Semanal</t>
  </si>
  <si>
    <t>1 Mes</t>
  </si>
  <si>
    <t>Costo/mes</t>
  </si>
  <si>
    <t>350 gramos / limon</t>
  </si>
  <si>
    <t>500 mililitros/cachaca</t>
  </si>
  <si>
    <t>500 gramos /limon</t>
  </si>
  <si>
    <t>400 mililitros /licor de naranja</t>
  </si>
  <si>
    <t>Linea de Comercializacion</t>
  </si>
  <si>
    <t>SERVICIOS AL MES (Unid)</t>
  </si>
  <si>
    <t>% Participacion</t>
  </si>
  <si>
    <t xml:space="preserve">Precio Venta </t>
  </si>
  <si>
    <t xml:space="preserve">Costo Variable Unitario    </t>
  </si>
  <si>
    <t>Margen</t>
  </si>
  <si>
    <t>Margen Ponderado</t>
  </si>
  <si>
    <t>PUNTO DE EQUILIBRIO en Unidades</t>
  </si>
  <si>
    <t>PUNTO DE EQUILIBRIO en soles</t>
  </si>
  <si>
    <t>INSUMOS</t>
  </si>
  <si>
    <t>Nuevos Soles</t>
  </si>
  <si>
    <t>COSTOS FIJOS</t>
  </si>
  <si>
    <t>Punto de equilibrio</t>
  </si>
  <si>
    <t>El Punto de Equilibro del proyecto es aquel nivel de ventas que iguala al total de los costos, es decir, es aquel punto donde no existen ganancias ni pérdidas.</t>
  </si>
  <si>
    <t>En el punto de equilibrio el proyecto cubre todos sus costos, tanto los fijos como los variables.</t>
  </si>
  <si>
    <t>Como se puede apreciar el punto de equilibrio es 410.10 unidades que equivalen a una venta de S/.29,120.36</t>
  </si>
  <si>
    <t>Efectivo</t>
  </si>
  <si>
    <t>SNP</t>
  </si>
  <si>
    <t>Aporte Obligt</t>
  </si>
  <si>
    <t>Comision</t>
  </si>
  <si>
    <t>Comision Mixta</t>
  </si>
  <si>
    <t xml:space="preserve">Total Dscto </t>
  </si>
  <si>
    <t>Neto A pagar</t>
  </si>
  <si>
    <t>ESSALUD 9%</t>
  </si>
  <si>
    <t>SUELDO SEMANAL</t>
  </si>
  <si>
    <t>SEXO</t>
  </si>
  <si>
    <t>1)</t>
  </si>
  <si>
    <t>5)</t>
  </si>
  <si>
    <t>a) Si</t>
  </si>
  <si>
    <t>b) No</t>
  </si>
  <si>
    <t>2)</t>
  </si>
  <si>
    <t>6)</t>
  </si>
  <si>
    <t>3)</t>
  </si>
  <si>
    <t>7)</t>
  </si>
  <si>
    <t>4)</t>
  </si>
  <si>
    <t>8)</t>
  </si>
  <si>
    <t>ENCUESTA DIRIGIDA A LA POBLACION DE  MOQUEGUA , EDADES ENTRE 15 A 54 AÑOS</t>
  </si>
  <si>
    <t>b) Quincenal</t>
  </si>
  <si>
    <t>c) Mensual</t>
  </si>
  <si>
    <t>a) Viernes</t>
  </si>
  <si>
    <t>b) Sabado</t>
  </si>
  <si>
    <t>c) Viernes y Sabado</t>
  </si>
  <si>
    <t>b) Ambiente confortable</t>
  </si>
  <si>
    <t>c) Nivel Social</t>
  </si>
  <si>
    <t>a) Soho</t>
  </si>
  <si>
    <t>b) Noa Noa</t>
  </si>
  <si>
    <t>d) Rustica</t>
  </si>
  <si>
    <t>¿En que rango de edada se encuentra?</t>
  </si>
  <si>
    <t>a) 15 a19</t>
  </si>
  <si>
    <t>b) 20 a 24</t>
  </si>
  <si>
    <t>c) 25 a 29</t>
  </si>
  <si>
    <t>e) 30 a 34</t>
  </si>
  <si>
    <t>f) 35 a 39</t>
  </si>
  <si>
    <t>g) 40 a 44</t>
  </si>
  <si>
    <t>h) 45 a 49</t>
  </si>
  <si>
    <t>FEMENINO</t>
  </si>
  <si>
    <t>MASCULINO</t>
  </si>
  <si>
    <t>i ) 50 a 54</t>
  </si>
  <si>
    <t>¿Con que frecuencia visita un centro de diversion -DISCOTECA?</t>
  </si>
  <si>
    <t>¿Acostumbra visitar centros de diversion -DISCOTECA?</t>
  </si>
  <si>
    <t>a) Semanal</t>
  </si>
  <si>
    <t>¿Qué dias de la semana asiste a un centro de diversion - DISCOTECA?</t>
  </si>
  <si>
    <t>c) Jueves, Viernes y Sabado</t>
  </si>
  <si>
    <t>¿Cuándo visita un centro de diversion con cuantas personas va acompañado/a?</t>
  </si>
  <si>
    <t>a)   1  Persona</t>
  </si>
  <si>
    <t>b)   2  Personas</t>
  </si>
  <si>
    <t>c)   3  Personas</t>
  </si>
  <si>
    <t>d)   4  Personas</t>
  </si>
  <si>
    <t xml:space="preserve">e)   5  Personas a mas </t>
  </si>
  <si>
    <t>¿Qué tipo de bebidas habitualmente consume cuando va a un centro de diversion -Discoteca?</t>
  </si>
  <si>
    <t>a) Cerveza</t>
  </si>
  <si>
    <t>b) Pisco</t>
  </si>
  <si>
    <t>c)Vino</t>
  </si>
  <si>
    <t xml:space="preserve">e) Tequila </t>
  </si>
  <si>
    <t>f) Ron</t>
  </si>
  <si>
    <t>g) Whisky</t>
  </si>
  <si>
    <t>d) Cocteles</t>
  </si>
  <si>
    <t>d) 100 a mas</t>
  </si>
  <si>
    <t>a) 20 a 50 Soles</t>
  </si>
  <si>
    <t>b) 50 a 80 Soles</t>
  </si>
  <si>
    <t>c) 80 a 100 Soles</t>
  </si>
  <si>
    <t>¿En que rango de edad se encuentra?</t>
  </si>
  <si>
    <t>¿ Que considera mas importante en centro de diversion - DISCOTECA?</t>
  </si>
  <si>
    <t xml:space="preserve">a) Atención de calidad </t>
  </si>
  <si>
    <t>d) Precio accesible</t>
  </si>
  <si>
    <t>¿  Le gustaria visitar un nuevo centro de diversion con atencion personalizada y tragos exoticos</t>
  </si>
  <si>
    <t>9)</t>
  </si>
  <si>
    <t>10)</t>
  </si>
  <si>
    <t>¿ A que discotecas o bares frecuenta acudir?</t>
  </si>
  <si>
    <t>c) Eurobar</t>
  </si>
  <si>
    <t>e) Otros</t>
  </si>
  <si>
    <t>d)Jueves, Viernes y Sabado</t>
  </si>
  <si>
    <t>Precios de Bebidas con INSUMOS- Gastos indirectos, Planilla y cuota a pagar</t>
  </si>
  <si>
    <t>FUENTE :ELABORACION PROPIA</t>
  </si>
  <si>
    <t>CUADRO 03</t>
  </si>
  <si>
    <t xml:space="preserve">PLANILLA DE EMPLEADOS                            </t>
  </si>
  <si>
    <t>(  )</t>
  </si>
  <si>
    <t>MASCULINO     (  )</t>
  </si>
  <si>
    <t>¿ Cuanto consume generalmente usted cada ves que visita estos lugares?</t>
  </si>
  <si>
    <t>¿  Le gustaria visitar un nuevo centro de diversion con atencion personalizada y tragos exoticos?</t>
  </si>
  <si>
    <t>Para que la empresa no gane ni pierda tiene que vender 7763.00 soles.</t>
  </si>
  <si>
    <t>Como el VAN es mayor a 0; significa que los beneficios generales superan a sus costos; por lo que se recomienda la ejecución del plan de negocio.</t>
  </si>
  <si>
    <t>Como el B/C es mayor a uno; podemos decir que el plan de negocio es rentable; por lo que se recomienda ejecutar el plan de negocio.</t>
  </si>
  <si>
    <t>8 METROS</t>
  </si>
  <si>
    <t>15 METROS</t>
  </si>
  <si>
    <t>INGRESO PRINCIPAL</t>
  </si>
  <si>
    <t>ENCUESTA 1</t>
  </si>
  <si>
    <t>ELABORACION PROPIA</t>
  </si>
  <si>
    <t>SOCIOS</t>
  </si>
  <si>
    <t>DNI</t>
  </si>
  <si>
    <t>APORTES</t>
  </si>
  <si>
    <t>PARTICIPACION CON %</t>
  </si>
  <si>
    <t>8 horas</t>
  </si>
  <si>
    <t>Como la tasa de interés de retorno del plan de negocio es de 11%; mayor a la tasa del 10 % del mercado; por lo tanto se recomienda realizar la inversión.</t>
  </si>
  <si>
    <t>9 meses  3dias</t>
  </si>
  <si>
    <t>9 MESES  3 DIAS</t>
  </si>
  <si>
    <t>FRANCO FLORES FLORES</t>
  </si>
  <si>
    <t>KENEDY ORTOGUERIN PARE</t>
  </si>
  <si>
    <t>ORGANIGRAMA DE DISCOTECA - ACHORADO</t>
  </si>
  <si>
    <t>LOCALIZACION DE DISCOTECA - ACHORADO</t>
  </si>
  <si>
    <t>CUENTAS DE LOS ESTADOS FINANCIEROS DE LA DISCOTECA ACHORADO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</si>
</sst>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6" formatCode="&quot;S/.&quot;\ #,##0;[Red]&quot;S/.&quot;\ \-#,##0"/>
    <numFmt numFmtId="8" formatCode="&quot;S/.&quot;\ #,##0.00;[Red]&quot;S/.&quot;\ \-#,##0.00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 [$S/.-280A]\ * #,##0.00_ ;_ [$S/.-280A]\ * \-#,##0.00_ ;_ [$S/.-280A]\ * &quot;-&quot;??_ ;_ @_ "/>
    <numFmt numFmtId="165" formatCode="0.000"/>
    <numFmt numFmtId="166" formatCode="&quot;S/.&quot;\ #,##0.00"/>
    <numFmt numFmtId="167" formatCode="&quot;S/.&quot;\ #,##0.000"/>
    <numFmt numFmtId="168" formatCode="0.0000"/>
    <numFmt numFmtId="169" formatCode="0.00000"/>
    <numFmt numFmtId="170" formatCode="&quot;S/.&quot;\ #,##0.0"/>
    <numFmt numFmtId="171" formatCode="_ [$S/.-280A]\ * #,##0.0_ ;_ [$S/.-280A]\ * \-#,##0.0_ ;_ [$S/.-280A]\ * &quot;-&quot;??_ ;_ @_ "/>
    <numFmt numFmtId="172" formatCode="&quot;S/.&quot;\ #,##0"/>
    <numFmt numFmtId="173" formatCode="0.0%"/>
    <numFmt numFmtId="174" formatCode="0.0"/>
    <numFmt numFmtId="175" formatCode="#,##0.000"/>
  </numFmts>
  <fonts count="61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u/>
      <sz val="11"/>
      <color theme="10"/>
      <name val="Trebuchet MS"/>
      <family val="2"/>
      <scheme val="minor"/>
    </font>
    <font>
      <b/>
      <sz val="16"/>
      <color theme="1"/>
      <name val="Trebuchet MS"/>
      <family val="2"/>
      <scheme val="minor"/>
    </font>
    <font>
      <sz val="8"/>
      <color theme="1"/>
      <name val="Book Antiqua"/>
      <family val="1"/>
    </font>
    <font>
      <b/>
      <sz val="8"/>
      <color indexed="8"/>
      <name val="Book Antiqua"/>
      <family val="1"/>
    </font>
    <font>
      <sz val="8"/>
      <color indexed="8"/>
      <name val="Book Antiqua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Book Antiqua"/>
      <family val="1"/>
    </font>
    <font>
      <b/>
      <sz val="10"/>
      <name val="Book Antiqua"/>
      <family val="1"/>
    </font>
    <font>
      <b/>
      <sz val="12"/>
      <color theme="10"/>
      <name val="Trebuchet MS"/>
      <family val="2"/>
      <scheme val="minor"/>
    </font>
    <font>
      <b/>
      <sz val="9"/>
      <color theme="1"/>
      <name val="Trebuchet MS"/>
      <family val="2"/>
      <scheme val="minor"/>
    </font>
    <font>
      <b/>
      <sz val="11"/>
      <name val="Trebuchet MS"/>
      <family val="2"/>
      <scheme val="minor"/>
    </font>
    <font>
      <b/>
      <sz val="14"/>
      <color theme="1"/>
      <name val="Trebuchet MS"/>
      <family val="2"/>
      <scheme val="minor"/>
    </font>
    <font>
      <sz val="10"/>
      <name val="Arial"/>
      <family val="2"/>
    </font>
    <font>
      <sz val="10"/>
      <name val="Trebuchet MS"/>
      <family val="2"/>
      <scheme val="minor"/>
    </font>
    <font>
      <b/>
      <sz val="10"/>
      <name val="Trebuchet MS"/>
      <family val="2"/>
      <scheme val="minor"/>
    </font>
    <font>
      <sz val="10"/>
      <color theme="1"/>
      <name val="Trebuchet MS"/>
      <family val="2"/>
      <scheme val="minor"/>
    </font>
    <font>
      <b/>
      <sz val="10"/>
      <color theme="1"/>
      <name val="Trebuchet MS"/>
      <family val="2"/>
      <scheme val="minor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8"/>
      <color theme="0"/>
      <name val="Book Antiqua"/>
      <family val="1"/>
    </font>
    <font>
      <sz val="10"/>
      <color theme="0"/>
      <name val="Trebuchet MS"/>
      <family val="2"/>
      <scheme val="minor"/>
    </font>
    <font>
      <b/>
      <sz val="8"/>
      <color theme="1"/>
      <name val="Book Antiqua"/>
      <family val="1"/>
    </font>
    <font>
      <b/>
      <sz val="8"/>
      <color rgb="FF000000"/>
      <name val="Book Antiqua"/>
      <family val="1"/>
    </font>
    <font>
      <sz val="8"/>
      <name val="Arial"/>
      <family val="2"/>
    </font>
    <font>
      <b/>
      <sz val="8"/>
      <color theme="1"/>
      <name val="Trebuchet MS"/>
      <family val="2"/>
      <scheme val="minor"/>
    </font>
    <font>
      <b/>
      <sz val="8"/>
      <name val="Book Antiqua"/>
      <family val="1"/>
    </font>
    <font>
      <sz val="11"/>
      <color theme="1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b/>
      <sz val="12"/>
      <color theme="1"/>
      <name val="Book Antiqua"/>
      <family val="1"/>
    </font>
    <font>
      <sz val="14"/>
      <color theme="1"/>
      <name val="Book Antiqua"/>
      <family val="1"/>
    </font>
    <font>
      <b/>
      <sz val="10"/>
      <color theme="1"/>
      <name val="Book Antiqua"/>
      <family val="1"/>
    </font>
    <font>
      <b/>
      <sz val="11"/>
      <color theme="1"/>
      <name val="Book Antiqua"/>
      <family val="1"/>
    </font>
    <font>
      <b/>
      <sz val="9"/>
      <color theme="1"/>
      <name val="Arial"/>
      <family val="2"/>
    </font>
    <font>
      <b/>
      <sz val="11"/>
      <color theme="1"/>
      <name val="Calibri"/>
      <family val="2"/>
    </font>
    <font>
      <b/>
      <sz val="9"/>
      <name val="Book Antiqua"/>
      <family val="1"/>
    </font>
    <font>
      <b/>
      <sz val="20"/>
      <color theme="1"/>
      <name val="Trebuchet MS"/>
      <family val="2"/>
      <scheme val="minor"/>
    </font>
    <font>
      <b/>
      <sz val="16"/>
      <name val="Trebuchet MS"/>
      <family val="2"/>
      <scheme val="minor"/>
    </font>
    <font>
      <b/>
      <u val="double"/>
      <sz val="10"/>
      <color theme="1"/>
      <name val="Trebuchet MS"/>
      <family val="2"/>
      <scheme val="minor"/>
    </font>
    <font>
      <sz val="8"/>
      <color theme="1"/>
      <name val="Trebuchet MS"/>
      <family val="2"/>
      <scheme val="minor"/>
    </font>
    <font>
      <b/>
      <u val="double"/>
      <sz val="10"/>
      <name val="Trebuchet MS"/>
      <family val="2"/>
      <scheme val="minor"/>
    </font>
    <font>
      <u/>
      <sz val="12"/>
      <name val="Trebuchet MS"/>
      <family val="2"/>
      <scheme val="minor"/>
    </font>
    <font>
      <sz val="11"/>
      <color rgb="FF000000"/>
      <name val="Arial"/>
      <family val="2"/>
    </font>
    <font>
      <b/>
      <sz val="9"/>
      <color rgb="FFFF0000"/>
      <name val="Book Antiqua"/>
      <family val="1"/>
    </font>
    <font>
      <sz val="10"/>
      <color theme="1"/>
      <name val="Book Antiqua"/>
      <family val="1"/>
    </font>
    <font>
      <b/>
      <sz val="11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Book Antiqua"/>
      <family val="1"/>
    </font>
    <font>
      <sz val="14"/>
      <color theme="1"/>
      <name val="Trebuchet MS"/>
      <family val="2"/>
      <scheme val="minor"/>
    </font>
    <font>
      <sz val="10"/>
      <color theme="1"/>
      <name val="Trebuchet MS"/>
      <family val="2"/>
      <scheme val="major"/>
    </font>
    <font>
      <sz val="14"/>
      <color theme="1"/>
      <name val="Trebuchet MS"/>
      <family val="2"/>
      <scheme val="major"/>
    </font>
    <font>
      <sz val="12"/>
      <color theme="1"/>
      <name val="Arial"/>
      <family val="2"/>
    </font>
    <font>
      <b/>
      <sz val="11"/>
      <color rgb="FF00B0F0"/>
      <name val="Trebuchet MS"/>
      <family val="2"/>
      <scheme val="minor"/>
    </font>
    <font>
      <sz val="9"/>
      <color theme="1"/>
      <name val="Arial"/>
      <family val="2"/>
    </font>
    <font>
      <b/>
      <sz val="16"/>
      <name val="Berlin Sans FB"/>
      <family val="2"/>
    </font>
    <font>
      <b/>
      <sz val="14"/>
      <color rgb="FFFF0000"/>
      <name val="Trebuchet MS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661DD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44AE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theme="0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642">
    <xf numFmtId="0" fontId="0" fillId="0" borderId="0" xfId="0"/>
    <xf numFmtId="0" fontId="5" fillId="2" borderId="0" xfId="0" applyFont="1" applyFill="1"/>
    <xf numFmtId="2" fontId="7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2" fontId="7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0" xfId="0" applyFont="1" applyFill="1" applyBorder="1"/>
    <xf numFmtId="0" fontId="7" fillId="2" borderId="0" xfId="0" applyFont="1" applyFill="1" applyBorder="1"/>
    <xf numFmtId="0" fontId="6" fillId="2" borderId="0" xfId="0" applyFont="1" applyFill="1" applyBorder="1"/>
    <xf numFmtId="0" fontId="2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13" fillId="2" borderId="3" xfId="0" applyFont="1" applyFill="1" applyBorder="1" applyAlignment="1">
      <alignment vertical="center" textRotation="255" wrapText="1"/>
    </xf>
    <xf numFmtId="2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3" fillId="2" borderId="0" xfId="0" applyFont="1" applyFill="1" applyBorder="1" applyAlignment="1">
      <alignment vertical="center" textRotation="255" wrapText="1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1" fontId="0" fillId="0" borderId="0" xfId="0" applyNumberFormat="1"/>
    <xf numFmtId="1" fontId="2" fillId="10" borderId="1" xfId="0" applyNumberFormat="1" applyFont="1" applyFill="1" applyBorder="1"/>
    <xf numFmtId="0" fontId="0" fillId="0" borderId="2" xfId="0" applyBorder="1"/>
    <xf numFmtId="0" fontId="2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wrapText="1"/>
    </xf>
    <xf numFmtId="0" fontId="1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64" fontId="0" fillId="0" borderId="1" xfId="0" applyNumberFormat="1" applyBorder="1"/>
    <xf numFmtId="164" fontId="0" fillId="2" borderId="1" xfId="0" applyNumberFormat="1" applyFont="1" applyFill="1" applyBorder="1" applyAlignment="1">
      <alignment vertical="center" wrapText="1"/>
    </xf>
    <xf numFmtId="164" fontId="0" fillId="13" borderId="1" xfId="0" applyNumberFormat="1" applyFont="1" applyFill="1" applyBorder="1" applyAlignment="1">
      <alignment wrapText="1"/>
    </xf>
    <xf numFmtId="164" fontId="0" fillId="2" borderId="1" xfId="0" applyNumberFormat="1" applyFont="1" applyFill="1" applyBorder="1" applyAlignment="1">
      <alignment wrapText="1"/>
    </xf>
    <xf numFmtId="164" fontId="0" fillId="0" borderId="1" xfId="0" applyNumberFormat="1" applyFont="1" applyBorder="1"/>
    <xf numFmtId="0" fontId="0" fillId="0" borderId="1" xfId="0" applyFont="1" applyBorder="1"/>
    <xf numFmtId="164" fontId="0" fillId="14" borderId="1" xfId="0" applyNumberFormat="1" applyFill="1" applyBorder="1"/>
    <xf numFmtId="44" fontId="0" fillId="0" borderId="1" xfId="1" applyFont="1" applyBorder="1"/>
    <xf numFmtId="0" fontId="0" fillId="0" borderId="0" xfId="0" applyBorder="1"/>
    <xf numFmtId="0" fontId="10" fillId="0" borderId="1" xfId="0" applyFont="1" applyBorder="1"/>
    <xf numFmtId="0" fontId="18" fillId="8" borderId="1" xfId="0" applyFont="1" applyFill="1" applyBorder="1"/>
    <xf numFmtId="0" fontId="18" fillId="9" borderId="1" xfId="0" applyFont="1" applyFill="1" applyBorder="1" applyAlignment="1">
      <alignment horizontal="left" vertical="center" wrapText="1"/>
    </xf>
    <xf numFmtId="0" fontId="17" fillId="0" borderId="0" xfId="0" applyFont="1"/>
    <xf numFmtId="0" fontId="19" fillId="0" borderId="0" xfId="0" applyFont="1"/>
    <xf numFmtId="0" fontId="18" fillId="4" borderId="5" xfId="0" applyFont="1" applyFill="1" applyBorder="1" applyAlignment="1">
      <alignment horizontal="left" vertical="center" wrapText="1"/>
    </xf>
    <xf numFmtId="164" fontId="18" fillId="4" borderId="2" xfId="0" applyNumberFormat="1" applyFont="1" applyFill="1" applyBorder="1" applyAlignment="1">
      <alignment horizontal="right"/>
    </xf>
    <xf numFmtId="0" fontId="18" fillId="4" borderId="2" xfId="0" applyFont="1" applyFill="1" applyBorder="1" applyAlignment="1">
      <alignment horizontal="center"/>
    </xf>
    <xf numFmtId="44" fontId="18" fillId="4" borderId="2" xfId="1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left" vertical="center" wrapText="1"/>
    </xf>
    <xf numFmtId="164" fontId="18" fillId="6" borderId="2" xfId="0" applyNumberFormat="1" applyFont="1" applyFill="1" applyBorder="1" applyAlignment="1">
      <alignment horizontal="right"/>
    </xf>
    <xf numFmtId="0" fontId="18" fillId="6" borderId="2" xfId="0" applyFont="1" applyFill="1" applyBorder="1" applyAlignment="1">
      <alignment horizontal="center"/>
    </xf>
    <xf numFmtId="44" fontId="18" fillId="6" borderId="2" xfId="1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left" vertical="center" wrapText="1"/>
    </xf>
    <xf numFmtId="164" fontId="17" fillId="7" borderId="6" xfId="0" applyNumberFormat="1" applyFont="1" applyFill="1" applyBorder="1" applyAlignment="1">
      <alignment horizontal="right"/>
    </xf>
    <xf numFmtId="0" fontId="17" fillId="7" borderId="6" xfId="0" applyFont="1" applyFill="1" applyBorder="1" applyAlignment="1">
      <alignment horizontal="center"/>
    </xf>
    <xf numFmtId="44" fontId="18" fillId="7" borderId="6" xfId="1" applyFont="1" applyFill="1" applyBorder="1" applyAlignment="1">
      <alignment horizontal="center"/>
    </xf>
    <xf numFmtId="0" fontId="17" fillId="0" borderId="1" xfId="0" applyFont="1" applyBorder="1" applyAlignment="1">
      <alignment horizontal="left" vertical="center" wrapText="1"/>
    </xf>
    <xf numFmtId="164" fontId="17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center"/>
    </xf>
    <xf numFmtId="44" fontId="17" fillId="0" borderId="1" xfId="1" applyFont="1" applyBorder="1" applyAlignment="1">
      <alignment horizontal="center"/>
    </xf>
    <xf numFmtId="0" fontId="18" fillId="7" borderId="1" xfId="0" applyFont="1" applyFill="1" applyBorder="1" applyAlignment="1">
      <alignment horizontal="left" vertical="center" wrapText="1"/>
    </xf>
    <xf numFmtId="164" fontId="17" fillId="7" borderId="1" xfId="0" applyNumberFormat="1" applyFont="1" applyFill="1" applyBorder="1" applyAlignment="1">
      <alignment horizontal="right"/>
    </xf>
    <xf numFmtId="0" fontId="17" fillId="7" borderId="1" xfId="0" applyFont="1" applyFill="1" applyBorder="1" applyAlignment="1">
      <alignment horizontal="center"/>
    </xf>
    <xf numFmtId="44" fontId="18" fillId="7" borderId="1" xfId="1" applyFont="1" applyFill="1" applyBorder="1" applyAlignment="1">
      <alignment horizontal="center"/>
    </xf>
    <xf numFmtId="44" fontId="17" fillId="2" borderId="1" xfId="1" applyFont="1" applyFill="1" applyBorder="1" applyAlignment="1">
      <alignment horizontal="center"/>
    </xf>
    <xf numFmtId="0" fontId="18" fillId="8" borderId="4" xfId="0" applyFont="1" applyFill="1" applyBorder="1" applyAlignment="1">
      <alignment horizontal="left" vertical="center" wrapText="1"/>
    </xf>
    <xf numFmtId="164" fontId="17" fillId="8" borderId="4" xfId="0" applyNumberFormat="1" applyFont="1" applyFill="1" applyBorder="1" applyAlignment="1">
      <alignment horizontal="right"/>
    </xf>
    <xf numFmtId="0" fontId="17" fillId="8" borderId="4" xfId="0" applyFont="1" applyFill="1" applyBorder="1" applyAlignment="1">
      <alignment horizontal="center"/>
    </xf>
    <xf numFmtId="44" fontId="18" fillId="8" borderId="4" xfId="1" applyFont="1" applyFill="1" applyBorder="1" applyAlignment="1">
      <alignment horizontal="center"/>
    </xf>
    <xf numFmtId="0" fontId="18" fillId="6" borderId="7" xfId="0" applyFont="1" applyFill="1" applyBorder="1" applyAlignment="1">
      <alignment horizontal="left" vertical="center" wrapText="1"/>
    </xf>
    <xf numFmtId="164" fontId="17" fillId="6" borderId="8" xfId="0" applyNumberFormat="1" applyFont="1" applyFill="1" applyBorder="1" applyAlignment="1">
      <alignment horizontal="right"/>
    </xf>
    <xf numFmtId="0" fontId="17" fillId="6" borderId="8" xfId="0" applyFont="1" applyFill="1" applyBorder="1" applyAlignment="1">
      <alignment horizontal="center"/>
    </xf>
    <xf numFmtId="44" fontId="17" fillId="6" borderId="8" xfId="1" applyFont="1" applyFill="1" applyBorder="1" applyAlignment="1">
      <alignment horizontal="center"/>
    </xf>
    <xf numFmtId="0" fontId="17" fillId="0" borderId="6" xfId="0" applyFont="1" applyBorder="1" applyAlignment="1">
      <alignment horizontal="left" vertical="center" wrapText="1"/>
    </xf>
    <xf numFmtId="164" fontId="17" fillId="0" borderId="6" xfId="0" applyNumberFormat="1" applyFont="1" applyBorder="1" applyAlignment="1">
      <alignment horizontal="right"/>
    </xf>
    <xf numFmtId="0" fontId="17" fillId="0" borderId="6" xfId="0" applyFont="1" applyBorder="1" applyAlignment="1">
      <alignment horizontal="center"/>
    </xf>
    <xf numFmtId="44" fontId="17" fillId="0" borderId="6" xfId="1" applyFont="1" applyBorder="1" applyAlignment="1">
      <alignment horizontal="center"/>
    </xf>
    <xf numFmtId="0" fontId="17" fillId="0" borderId="4" xfId="0" applyFont="1" applyBorder="1" applyAlignment="1">
      <alignment horizontal="left" vertical="center" wrapText="1"/>
    </xf>
    <xf numFmtId="164" fontId="17" fillId="0" borderId="4" xfId="0" applyNumberFormat="1" applyFont="1" applyBorder="1" applyAlignment="1">
      <alignment horizontal="right"/>
    </xf>
    <xf numFmtId="0" fontId="17" fillId="0" borderId="4" xfId="0" applyFont="1" applyBorder="1" applyAlignment="1">
      <alignment horizontal="center"/>
    </xf>
    <xf numFmtId="44" fontId="17" fillId="0" borderId="4" xfId="1" applyFont="1" applyBorder="1" applyAlignment="1">
      <alignment horizontal="center"/>
    </xf>
    <xf numFmtId="0" fontId="18" fillId="8" borderId="1" xfId="0" applyFont="1" applyFill="1" applyBorder="1" applyAlignment="1">
      <alignment horizontal="left" vertical="center" wrapText="1"/>
    </xf>
    <xf numFmtId="164" fontId="17" fillId="8" borderId="1" xfId="0" applyNumberFormat="1" applyFont="1" applyFill="1" applyBorder="1" applyAlignment="1">
      <alignment horizontal="right"/>
    </xf>
    <xf numFmtId="0" fontId="17" fillId="8" borderId="1" xfId="0" applyFont="1" applyFill="1" applyBorder="1" applyAlignment="1">
      <alignment horizontal="center"/>
    </xf>
    <xf numFmtId="44" fontId="18" fillId="8" borderId="1" xfId="1" applyFont="1" applyFill="1" applyBorder="1" applyAlignment="1">
      <alignment horizontal="center"/>
    </xf>
    <xf numFmtId="0" fontId="20" fillId="4" borderId="1" xfId="0" applyFont="1" applyFill="1" applyBorder="1" applyAlignment="1">
      <alignment horizontal="left" vertical="center" wrapText="1"/>
    </xf>
    <xf numFmtId="164" fontId="17" fillId="4" borderId="1" xfId="0" applyNumberFormat="1" applyFont="1" applyFill="1" applyBorder="1" applyAlignment="1">
      <alignment horizontal="right"/>
    </xf>
    <xf numFmtId="0" fontId="17" fillId="4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vertical="center" wrapText="1"/>
    </xf>
    <xf numFmtId="44" fontId="19" fillId="2" borderId="9" xfId="1" applyFont="1" applyFill="1" applyBorder="1" applyAlignment="1">
      <alignment vertical="center" wrapText="1"/>
    </xf>
    <xf numFmtId="164" fontId="18" fillId="8" borderId="1" xfId="0" applyNumberFormat="1" applyFont="1" applyFill="1" applyBorder="1"/>
    <xf numFmtId="44" fontId="18" fillId="8" borderId="1" xfId="1" applyFont="1" applyFill="1" applyBorder="1" applyAlignment="1">
      <alignment horizontal="right"/>
    </xf>
    <xf numFmtId="164" fontId="18" fillId="9" borderId="1" xfId="0" applyNumberFormat="1" applyFont="1" applyFill="1" applyBorder="1" applyAlignment="1">
      <alignment horizontal="right"/>
    </xf>
    <xf numFmtId="0" fontId="18" fillId="9" borderId="1" xfId="0" applyFont="1" applyFill="1" applyBorder="1" applyAlignment="1">
      <alignment horizontal="center"/>
    </xf>
    <xf numFmtId="164" fontId="17" fillId="0" borderId="0" xfId="0" applyNumberFormat="1" applyFont="1" applyAlignment="1">
      <alignment horizontal="right"/>
    </xf>
    <xf numFmtId="44" fontId="17" fillId="0" borderId="0" xfId="1" applyFont="1"/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44" fontId="20" fillId="2" borderId="1" xfId="0" applyNumberFormat="1" applyFont="1" applyFill="1" applyBorder="1" applyAlignment="1">
      <alignment vertical="center" wrapText="1"/>
    </xf>
    <xf numFmtId="0" fontId="20" fillId="2" borderId="1" xfId="0" applyFont="1" applyFill="1" applyBorder="1" applyAlignment="1">
      <alignment wrapText="1"/>
    </xf>
    <xf numFmtId="44" fontId="18" fillId="2" borderId="1" xfId="1" applyFont="1" applyFill="1" applyBorder="1"/>
    <xf numFmtId="164" fontId="17" fillId="2" borderId="9" xfId="0" applyNumberFormat="1" applyFont="1" applyFill="1" applyBorder="1" applyAlignment="1"/>
    <xf numFmtId="0" fontId="19" fillId="0" borderId="1" xfId="0" applyFont="1" applyBorder="1" applyAlignment="1">
      <alignment horizontal="left" vertical="center" wrapText="1"/>
    </xf>
    <xf numFmtId="1" fontId="19" fillId="2" borderId="1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8" fillId="5" borderId="4" xfId="0" applyFont="1" applyFill="1" applyBorder="1" applyAlignment="1" applyProtection="1">
      <alignment vertical="center" wrapText="1"/>
      <protection locked="0"/>
    </xf>
    <xf numFmtId="164" fontId="18" fillId="5" borderId="1" xfId="0" applyNumberFormat="1" applyFont="1" applyFill="1" applyBorder="1" applyAlignment="1" applyProtection="1">
      <alignment vertical="center" wrapText="1"/>
      <protection locked="0"/>
    </xf>
    <xf numFmtId="0" fontId="18" fillId="5" borderId="1" xfId="0" applyFont="1" applyFill="1" applyBorder="1" applyAlignment="1" applyProtection="1">
      <alignment vertical="center" wrapText="1"/>
      <protection locked="0"/>
    </xf>
    <xf numFmtId="0" fontId="18" fillId="5" borderId="1" xfId="0" applyFont="1" applyFill="1" applyBorder="1" applyAlignment="1" applyProtection="1">
      <alignment horizontal="center" vertical="center" wrapText="1"/>
      <protection locked="0"/>
    </xf>
    <xf numFmtId="44" fontId="18" fillId="5" borderId="1" xfId="1" applyFont="1" applyFill="1" applyBorder="1" applyAlignment="1" applyProtection="1">
      <alignment vertical="center" wrapText="1"/>
      <protection locked="0"/>
    </xf>
    <xf numFmtId="0" fontId="19" fillId="0" borderId="0" xfId="0" applyFont="1" applyProtection="1">
      <protection locked="0"/>
    </xf>
    <xf numFmtId="0" fontId="18" fillId="2" borderId="0" xfId="0" applyFont="1" applyFill="1"/>
    <xf numFmtId="0" fontId="19" fillId="2" borderId="0" xfId="0" applyFont="1" applyFill="1" applyAlignment="1">
      <alignment horizontal="center"/>
    </xf>
    <xf numFmtId="3" fontId="19" fillId="2" borderId="0" xfId="0" applyNumberFormat="1" applyFont="1" applyFill="1" applyAlignment="1">
      <alignment horizontal="center"/>
    </xf>
    <xf numFmtId="0" fontId="19" fillId="2" borderId="0" xfId="0" applyFont="1" applyFill="1"/>
    <xf numFmtId="0" fontId="19" fillId="2" borderId="0" xfId="0" applyFont="1" applyFill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3" fontId="19" fillId="2" borderId="0" xfId="0" applyNumberFormat="1" applyFont="1" applyFill="1" applyBorder="1" applyAlignment="1">
      <alignment horizontal="center"/>
    </xf>
    <xf numFmtId="166" fontId="19" fillId="2" borderId="6" xfId="0" applyNumberFormat="1" applyFont="1" applyFill="1" applyBorder="1" applyAlignment="1">
      <alignment horizontal="center" vertical="center" wrapText="1"/>
    </xf>
    <xf numFmtId="166" fontId="19" fillId="2" borderId="15" xfId="0" applyNumberFormat="1" applyFont="1" applyFill="1" applyBorder="1" applyAlignment="1">
      <alignment horizontal="center" vertical="center" wrapText="1"/>
    </xf>
    <xf numFmtId="166" fontId="19" fillId="2" borderId="1" xfId="0" applyNumberFormat="1" applyFont="1" applyFill="1" applyBorder="1" applyAlignment="1">
      <alignment horizontal="center" vertical="center" wrapText="1"/>
    </xf>
    <xf numFmtId="166" fontId="19" fillId="2" borderId="0" xfId="0" applyNumberFormat="1" applyFont="1" applyFill="1" applyAlignment="1">
      <alignment horizontal="center"/>
    </xf>
    <xf numFmtId="43" fontId="19" fillId="2" borderId="0" xfId="3" applyFont="1" applyFill="1" applyAlignment="1">
      <alignment horizontal="center"/>
    </xf>
    <xf numFmtId="0" fontId="16" fillId="0" borderId="7" xfId="0" applyFont="1" applyFill="1" applyBorder="1" applyAlignment="1">
      <alignment horizontal="center"/>
    </xf>
    <xf numFmtId="3" fontId="24" fillId="2" borderId="1" xfId="0" applyNumberFormat="1" applyFont="1" applyFill="1" applyBorder="1" applyAlignment="1">
      <alignment horizontal="center" vertical="center" wrapText="1"/>
    </xf>
    <xf numFmtId="0" fontId="20" fillId="15" borderId="1" xfId="0" applyFont="1" applyFill="1" applyBorder="1" applyAlignment="1">
      <alignment vertical="center" wrapText="1"/>
    </xf>
    <xf numFmtId="0" fontId="20" fillId="15" borderId="1" xfId="0" applyFont="1" applyFill="1" applyBorder="1" applyAlignment="1">
      <alignment horizontal="center" vertical="center" wrapText="1"/>
    </xf>
    <xf numFmtId="0" fontId="19" fillId="15" borderId="1" xfId="0" applyFont="1" applyFill="1" applyBorder="1" applyAlignment="1">
      <alignment vertical="center" wrapText="1"/>
    </xf>
    <xf numFmtId="0" fontId="20" fillId="15" borderId="1" xfId="0" applyFont="1" applyFill="1" applyBorder="1" applyAlignment="1">
      <alignment horizontal="center"/>
    </xf>
    <xf numFmtId="3" fontId="19" fillId="15" borderId="1" xfId="0" applyNumberFormat="1" applyFont="1" applyFill="1" applyBorder="1" applyAlignment="1">
      <alignment horizontal="center"/>
    </xf>
    <xf numFmtId="0" fontId="20" fillId="15" borderId="10" xfId="0" applyFont="1" applyFill="1" applyBorder="1" applyAlignment="1">
      <alignment horizontal="center" vertical="center" wrapText="1"/>
    </xf>
    <xf numFmtId="0" fontId="20" fillId="15" borderId="11" xfId="0" applyFont="1" applyFill="1" applyBorder="1" applyAlignment="1">
      <alignment horizontal="center" vertical="center" wrapText="1"/>
    </xf>
    <xf numFmtId="166" fontId="20" fillId="15" borderId="1" xfId="0" applyNumberFormat="1" applyFont="1" applyFill="1" applyBorder="1" applyAlignment="1">
      <alignment horizontal="center"/>
    </xf>
    <xf numFmtId="166" fontId="19" fillId="2" borderId="12" xfId="0" applyNumberFormat="1" applyFont="1" applyFill="1" applyBorder="1" applyAlignment="1">
      <alignment horizontal="left" vertical="center" wrapText="1"/>
    </xf>
    <xf numFmtId="166" fontId="19" fillId="2" borderId="13" xfId="0" applyNumberFormat="1" applyFont="1" applyFill="1" applyBorder="1" applyAlignment="1">
      <alignment horizontal="left" vertical="center"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166" fontId="10" fillId="0" borderId="1" xfId="0" applyNumberFormat="1" applyFont="1" applyBorder="1"/>
    <xf numFmtId="166" fontId="10" fillId="0" borderId="1" xfId="0" applyNumberFormat="1" applyFont="1" applyBorder="1" applyAlignment="1">
      <alignment horizontal="center"/>
    </xf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64" fontId="25" fillId="0" borderId="16" xfId="0" applyNumberFormat="1" applyFont="1" applyBorder="1" applyAlignment="1"/>
    <xf numFmtId="166" fontId="25" fillId="0" borderId="16" xfId="0" applyNumberFormat="1" applyFont="1" applyBorder="1" applyAlignment="1"/>
    <xf numFmtId="164" fontId="0" fillId="17" borderId="16" xfId="0" applyNumberFormat="1" applyFill="1" applyBorder="1"/>
    <xf numFmtId="0" fontId="29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18" fillId="3" borderId="1" xfId="0" applyFont="1" applyFill="1" applyBorder="1" applyAlignment="1">
      <alignment horizontal="left" vertical="center" wrapText="1"/>
    </xf>
    <xf numFmtId="2" fontId="19" fillId="3" borderId="1" xfId="0" applyNumberFormat="1" applyFont="1" applyFill="1" applyBorder="1" applyAlignment="1">
      <alignment horizontal="right"/>
    </xf>
    <xf numFmtId="0" fontId="19" fillId="3" borderId="1" xfId="0" applyFont="1" applyFill="1" applyBorder="1" applyAlignment="1">
      <alignment horizontal="center"/>
    </xf>
    <xf numFmtId="2" fontId="18" fillId="3" borderId="1" xfId="0" applyNumberFormat="1" applyFont="1" applyFill="1" applyBorder="1" applyAlignment="1">
      <alignment horizontal="center"/>
    </xf>
    <xf numFmtId="2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0" fontId="18" fillId="15" borderId="1" xfId="0" applyFont="1" applyFill="1" applyBorder="1" applyAlignment="1">
      <alignment horizontal="left" vertical="center" wrapText="1"/>
    </xf>
    <xf numFmtId="0" fontId="18" fillId="15" borderId="1" xfId="0" applyFont="1" applyFill="1" applyBorder="1" applyAlignment="1">
      <alignment horizontal="right"/>
    </xf>
    <xf numFmtId="0" fontId="18" fillId="15" borderId="1" xfId="0" applyFont="1" applyFill="1" applyBorder="1" applyAlignment="1">
      <alignment horizontal="center"/>
    </xf>
    <xf numFmtId="2" fontId="18" fillId="15" borderId="1" xfId="0" applyNumberFormat="1" applyFont="1" applyFill="1" applyBorder="1" applyAlignment="1">
      <alignment horizontal="center"/>
    </xf>
    <xf numFmtId="0" fontId="0" fillId="2" borderId="0" xfId="0" applyNumberFormat="1" applyFill="1"/>
    <xf numFmtId="0" fontId="29" fillId="3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vertical="center" wrapText="1"/>
    </xf>
    <xf numFmtId="166" fontId="26" fillId="2" borderId="1" xfId="0" applyNumberFormat="1" applyFont="1" applyFill="1" applyBorder="1" applyAlignment="1">
      <alignment horizontal="right" vertical="center" wrapText="1"/>
    </xf>
    <xf numFmtId="0" fontId="29" fillId="3" borderId="2" xfId="0" applyFont="1" applyFill="1" applyBorder="1" applyAlignment="1">
      <alignment horizontal="center"/>
    </xf>
    <xf numFmtId="0" fontId="29" fillId="3" borderId="5" xfId="0" applyFont="1" applyFill="1" applyBorder="1" applyAlignment="1">
      <alignment horizontal="left" vertical="center" wrapText="1"/>
    </xf>
    <xf numFmtId="164" fontId="29" fillId="3" borderId="2" xfId="0" applyNumberFormat="1" applyFont="1" applyFill="1" applyBorder="1" applyAlignment="1">
      <alignment horizontal="right"/>
    </xf>
    <xf numFmtId="44" fontId="29" fillId="3" borderId="2" xfId="1" applyFont="1" applyFill="1" applyBorder="1" applyAlignment="1">
      <alignment horizontal="center" vertical="center" wrapText="1"/>
    </xf>
    <xf numFmtId="0" fontId="0" fillId="3" borderId="1" xfId="0" applyNumberFormat="1" applyFill="1" applyBorder="1"/>
    <xf numFmtId="0" fontId="0" fillId="3" borderId="1" xfId="0" applyFill="1" applyBorder="1"/>
    <xf numFmtId="0" fontId="29" fillId="2" borderId="1" xfId="0" applyFont="1" applyFill="1" applyBorder="1"/>
    <xf numFmtId="166" fontId="25" fillId="2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 horizontal="right"/>
    </xf>
    <xf numFmtId="44" fontId="29" fillId="3" borderId="7" xfId="1" applyFont="1" applyFill="1" applyBorder="1" applyAlignment="1">
      <alignment horizontal="center"/>
    </xf>
    <xf numFmtId="44" fontId="0" fillId="3" borderId="1" xfId="0" applyNumberFormat="1" applyFill="1" applyBorder="1"/>
    <xf numFmtId="164" fontId="10" fillId="0" borderId="1" xfId="0" applyNumberFormat="1" applyFont="1" applyBorder="1" applyAlignment="1">
      <alignment horizontal="right"/>
    </xf>
    <xf numFmtId="44" fontId="10" fillId="0" borderId="7" xfId="1" applyFont="1" applyBorder="1" applyAlignment="1">
      <alignment horizontal="center"/>
    </xf>
    <xf numFmtId="0" fontId="0" fillId="2" borderId="1" xfId="0" applyNumberFormat="1" applyFill="1" applyBorder="1"/>
    <xf numFmtId="44" fontId="0" fillId="2" borderId="1" xfId="0" applyNumberFormat="1" applyFill="1" applyBorder="1"/>
    <xf numFmtId="0" fontId="29" fillId="2" borderId="1" xfId="0" applyFont="1" applyFill="1" applyBorder="1" applyAlignment="1">
      <alignment horizontal="left" vertical="center" wrapText="1"/>
    </xf>
    <xf numFmtId="0" fontId="29" fillId="3" borderId="6" xfId="0" applyFont="1" applyFill="1" applyBorder="1" applyAlignment="1">
      <alignment horizontal="left" vertical="center" wrapText="1"/>
    </xf>
    <xf numFmtId="44" fontId="10" fillId="0" borderId="7" xfId="1" applyNumberFormat="1" applyFont="1" applyBorder="1" applyAlignment="1">
      <alignment horizontal="center"/>
    </xf>
    <xf numFmtId="44" fontId="29" fillId="3" borderId="7" xfId="1" applyNumberFormat="1" applyFont="1" applyFill="1" applyBorder="1" applyAlignment="1">
      <alignment horizontal="center"/>
    </xf>
    <xf numFmtId="44" fontId="10" fillId="2" borderId="7" xfId="1" applyNumberFormat="1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29" fillId="3" borderId="4" xfId="0" applyFont="1" applyFill="1" applyBorder="1" applyAlignment="1">
      <alignment horizontal="left" vertical="center" wrapText="1"/>
    </xf>
    <xf numFmtId="164" fontId="10" fillId="3" borderId="4" xfId="0" applyNumberFormat="1" applyFont="1" applyFill="1" applyBorder="1" applyAlignment="1">
      <alignment horizontal="right"/>
    </xf>
    <xf numFmtId="44" fontId="29" fillId="3" borderId="22" xfId="1" applyNumberFormat="1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29" fillId="3" borderId="7" xfId="0" applyFont="1" applyFill="1" applyBorder="1" applyAlignment="1">
      <alignment horizontal="left" vertical="center" wrapText="1"/>
    </xf>
    <xf numFmtId="164" fontId="10" fillId="3" borderId="8" xfId="0" applyNumberFormat="1" applyFont="1" applyFill="1" applyBorder="1" applyAlignment="1">
      <alignment horizontal="right"/>
    </xf>
    <xf numFmtId="44" fontId="10" fillId="3" borderId="8" xfId="1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left" vertical="center" wrapText="1"/>
    </xf>
    <xf numFmtId="164" fontId="10" fillId="0" borderId="6" xfId="0" applyNumberFormat="1" applyFont="1" applyBorder="1" applyAlignment="1">
      <alignment horizontal="right"/>
    </xf>
    <xf numFmtId="44" fontId="10" fillId="0" borderId="5" xfId="1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left" vertical="center" wrapText="1"/>
    </xf>
    <xf numFmtId="164" fontId="10" fillId="0" borderId="4" xfId="0" applyNumberFormat="1" applyFont="1" applyBorder="1" applyAlignment="1">
      <alignment horizontal="right"/>
    </xf>
    <xf numFmtId="44" fontId="10" fillId="0" borderId="22" xfId="1" applyNumberFormat="1" applyFont="1" applyBorder="1" applyAlignment="1">
      <alignment horizontal="center"/>
    </xf>
    <xf numFmtId="0" fontId="25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25" fillId="16" borderId="1" xfId="0" applyFont="1" applyFill="1" applyBorder="1" applyAlignment="1">
      <alignment horizontal="left"/>
    </xf>
    <xf numFmtId="166" fontId="25" fillId="2" borderId="1" xfId="0" applyNumberFormat="1" applyFont="1" applyFill="1" applyBorder="1" applyAlignment="1">
      <alignment horizontal="right"/>
    </xf>
    <xf numFmtId="0" fontId="25" fillId="2" borderId="1" xfId="0" applyFont="1" applyFill="1" applyBorder="1" applyAlignment="1">
      <alignment horizontal="left"/>
    </xf>
    <xf numFmtId="166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66" fontId="5" fillId="2" borderId="0" xfId="0" applyNumberFormat="1" applyFont="1" applyFill="1"/>
    <xf numFmtId="0" fontId="25" fillId="2" borderId="0" xfId="0" applyFont="1" applyFill="1" applyAlignment="1"/>
    <xf numFmtId="0" fontId="25" fillId="2" borderId="1" xfId="0" applyFont="1" applyFill="1" applyBorder="1" applyAlignment="1"/>
    <xf numFmtId="166" fontId="5" fillId="2" borderId="1" xfId="0" applyNumberFormat="1" applyFont="1" applyFill="1" applyBorder="1"/>
    <xf numFmtId="166" fontId="25" fillId="2" borderId="1" xfId="0" applyNumberFormat="1" applyFont="1" applyFill="1" applyBorder="1" applyAlignment="1"/>
    <xf numFmtId="0" fontId="5" fillId="2" borderId="1" xfId="0" applyFont="1" applyFill="1" applyBorder="1" applyAlignment="1"/>
    <xf numFmtId="166" fontId="5" fillId="2" borderId="1" xfId="0" applyNumberFormat="1" applyFont="1" applyFill="1" applyBorder="1" applyAlignment="1"/>
    <xf numFmtId="0" fontId="25" fillId="2" borderId="1" xfId="0" applyFont="1" applyFill="1" applyBorder="1" applyAlignment="1">
      <alignment horizontal="left" vertical="center" wrapText="1"/>
    </xf>
    <xf numFmtId="2" fontId="25" fillId="2" borderId="1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30" fillId="2" borderId="0" xfId="0" applyFont="1" applyFill="1"/>
    <xf numFmtId="0" fontId="29" fillId="2" borderId="0" xfId="0" applyFont="1" applyFill="1" applyAlignment="1">
      <alignment horizontal="left"/>
    </xf>
    <xf numFmtId="0" fontId="30" fillId="2" borderId="0" xfId="0" applyFont="1" applyFill="1" applyAlignment="1">
      <alignment wrapText="1"/>
    </xf>
    <xf numFmtId="0" fontId="29" fillId="2" borderId="7" xfId="0" applyFont="1" applyFill="1" applyBorder="1" applyAlignment="1">
      <alignment horizontal="center" vertical="center"/>
    </xf>
    <xf numFmtId="0" fontId="29" fillId="2" borderId="22" xfId="0" applyFont="1" applyFill="1" applyBorder="1" applyAlignment="1">
      <alignment vertical="center"/>
    </xf>
    <xf numFmtId="0" fontId="29" fillId="2" borderId="23" xfId="0" applyFont="1" applyFill="1" applyBorder="1" applyAlignment="1">
      <alignment vertical="center"/>
    </xf>
    <xf numFmtId="0" fontId="29" fillId="2" borderId="23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vertical="center"/>
    </xf>
    <xf numFmtId="0" fontId="29" fillId="2" borderId="8" xfId="0" applyFont="1" applyFill="1" applyBorder="1" applyAlignment="1">
      <alignment vertical="center"/>
    </xf>
    <xf numFmtId="0" fontId="29" fillId="2" borderId="8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/>
    </xf>
    <xf numFmtId="166" fontId="10" fillId="2" borderId="6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166" fontId="10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vertical="center"/>
    </xf>
    <xf numFmtId="166" fontId="29" fillId="2" borderId="4" xfId="0" applyNumberFormat="1" applyFont="1" applyFill="1" applyBorder="1" applyAlignment="1">
      <alignment horizontal="center" vertical="center"/>
    </xf>
    <xf numFmtId="166" fontId="31" fillId="2" borderId="8" xfId="0" applyNumberFormat="1" applyFont="1" applyFill="1" applyBorder="1" applyAlignment="1">
      <alignment horizontal="center"/>
    </xf>
    <xf numFmtId="166" fontId="29" fillId="2" borderId="8" xfId="0" applyNumberFormat="1" applyFont="1" applyFill="1" applyBorder="1" applyAlignment="1">
      <alignment horizontal="center" vertical="center"/>
    </xf>
    <xf numFmtId="166" fontId="29" fillId="2" borderId="9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vertical="center"/>
    </xf>
    <xf numFmtId="166" fontId="29" fillId="2" borderId="1" xfId="0" applyNumberFormat="1" applyFont="1" applyFill="1" applyBorder="1" applyAlignment="1">
      <alignment horizontal="center" vertical="center"/>
    </xf>
    <xf numFmtId="0" fontId="29" fillId="16" borderId="1" xfId="0" applyFont="1" applyFill="1" applyBorder="1" applyAlignment="1">
      <alignment horizontal="center" vertical="center"/>
    </xf>
    <xf numFmtId="0" fontId="29" fillId="16" borderId="4" xfId="0" applyFont="1" applyFill="1" applyBorder="1" applyAlignment="1">
      <alignment vertical="center"/>
    </xf>
    <xf numFmtId="166" fontId="29" fillId="16" borderId="4" xfId="0" applyNumberFormat="1" applyFont="1" applyFill="1" applyBorder="1" applyAlignment="1">
      <alignment horizontal="center" vertical="center"/>
    </xf>
    <xf numFmtId="166" fontId="29" fillId="2" borderId="23" xfId="0" applyNumberFormat="1" applyFont="1" applyFill="1" applyBorder="1" applyAlignment="1">
      <alignment horizontal="center" vertical="center"/>
    </xf>
    <xf numFmtId="166" fontId="29" fillId="2" borderId="14" xfId="0" applyNumberFormat="1" applyFont="1" applyFill="1" applyBorder="1" applyAlignment="1">
      <alignment horizontal="center" vertical="center"/>
    </xf>
    <xf numFmtId="0" fontId="29" fillId="16" borderId="1" xfId="0" applyFont="1" applyFill="1" applyBorder="1" applyAlignment="1">
      <alignment vertical="center"/>
    </xf>
    <xf numFmtId="166" fontId="29" fillId="16" borderId="1" xfId="0" applyNumberFormat="1" applyFont="1" applyFill="1" applyBorder="1" applyAlignment="1">
      <alignment horizontal="center" vertical="center"/>
    </xf>
    <xf numFmtId="167" fontId="30" fillId="2" borderId="0" xfId="0" applyNumberFormat="1" applyFont="1" applyFill="1"/>
    <xf numFmtId="2" fontId="23" fillId="2" borderId="0" xfId="0" applyNumberFormat="1" applyFont="1" applyFill="1"/>
    <xf numFmtId="166" fontId="30" fillId="2" borderId="0" xfId="0" applyNumberFormat="1" applyFont="1" applyFill="1"/>
    <xf numFmtId="166" fontId="10" fillId="2" borderId="0" xfId="0" applyNumberFormat="1" applyFont="1" applyFill="1"/>
    <xf numFmtId="0" fontId="32" fillId="2" borderId="0" xfId="0" applyFont="1" applyFill="1"/>
    <xf numFmtId="0" fontId="29" fillId="2" borderId="0" xfId="0" applyFont="1" applyFill="1"/>
    <xf numFmtId="0" fontId="10" fillId="2" borderId="0" xfId="0" applyFont="1" applyFill="1"/>
    <xf numFmtId="0" fontId="10" fillId="2" borderId="1" xfId="0" applyFont="1" applyFill="1" applyBorder="1" applyAlignment="1">
      <alignment horizontal="center"/>
    </xf>
    <xf numFmtId="166" fontId="10" fillId="2" borderId="1" xfId="0" applyNumberFormat="1" applyFont="1" applyFill="1" applyBorder="1"/>
    <xf numFmtId="168" fontId="10" fillId="2" borderId="1" xfId="0" applyNumberFormat="1" applyFont="1" applyFill="1" applyBorder="1"/>
    <xf numFmtId="166" fontId="29" fillId="2" borderId="1" xfId="0" applyNumberFormat="1" applyFont="1" applyFill="1" applyBorder="1"/>
    <xf numFmtId="0" fontId="29" fillId="19" borderId="1" xfId="0" applyFont="1" applyFill="1" applyBorder="1" applyAlignment="1">
      <alignment horizontal="center"/>
    </xf>
    <xf numFmtId="165" fontId="29" fillId="19" borderId="1" xfId="0" applyNumberFormat="1" applyFont="1" applyFill="1" applyBorder="1" applyAlignment="1">
      <alignment horizontal="right"/>
    </xf>
    <xf numFmtId="9" fontId="5" fillId="2" borderId="0" xfId="0" applyNumberFormat="1" applyFont="1" applyFill="1"/>
    <xf numFmtId="0" fontId="22" fillId="2" borderId="0" xfId="0" applyFont="1" applyFill="1" applyAlignment="1">
      <alignment horizontal="center"/>
    </xf>
    <xf numFmtId="0" fontId="22" fillId="2" borderId="0" xfId="0" applyFont="1" applyFill="1"/>
    <xf numFmtId="0" fontId="22" fillId="2" borderId="0" xfId="0" applyFont="1" applyFill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21" fillId="2" borderId="27" xfId="0" applyFont="1" applyFill="1" applyBorder="1"/>
    <xf numFmtId="166" fontId="22" fillId="2" borderId="1" xfId="0" applyNumberFormat="1" applyFont="1" applyFill="1" applyBorder="1" applyAlignment="1">
      <alignment horizontal="center" vertical="center"/>
    </xf>
    <xf numFmtId="166" fontId="22" fillId="2" borderId="29" xfId="0" applyNumberFormat="1" applyFont="1" applyFill="1" applyBorder="1" applyAlignment="1">
      <alignment horizontal="center" vertical="center"/>
    </xf>
    <xf numFmtId="0" fontId="21" fillId="2" borderId="30" xfId="0" applyFont="1" applyFill="1" applyBorder="1" applyAlignment="1">
      <alignment horizontal="center" vertical="center"/>
    </xf>
    <xf numFmtId="0" fontId="21" fillId="2" borderId="30" xfId="0" applyFont="1" applyFill="1" applyBorder="1"/>
    <xf numFmtId="166" fontId="22" fillId="2" borderId="31" xfId="0" applyNumberFormat="1" applyFont="1" applyFill="1" applyBorder="1" applyAlignment="1">
      <alignment horizontal="center" vertical="center"/>
    </xf>
    <xf numFmtId="166" fontId="22" fillId="2" borderId="32" xfId="0" applyNumberFormat="1" applyFont="1" applyFill="1" applyBorder="1" applyAlignment="1">
      <alignment horizontal="center" vertical="center"/>
    </xf>
    <xf numFmtId="0" fontId="21" fillId="10" borderId="17" xfId="0" applyFont="1" applyFill="1" applyBorder="1" applyAlignment="1">
      <alignment wrapText="1"/>
    </xf>
    <xf numFmtId="2" fontId="22" fillId="2" borderId="36" xfId="0" applyNumberFormat="1" applyFont="1" applyFill="1" applyBorder="1" applyAlignment="1">
      <alignment horizontal="center" vertical="center"/>
    </xf>
    <xf numFmtId="2" fontId="22" fillId="2" borderId="37" xfId="0" applyNumberFormat="1" applyFont="1" applyFill="1" applyBorder="1" applyAlignment="1">
      <alignment horizontal="center" vertical="center"/>
    </xf>
    <xf numFmtId="2" fontId="22" fillId="2" borderId="38" xfId="0" applyNumberFormat="1" applyFont="1" applyFill="1" applyBorder="1" applyAlignment="1">
      <alignment horizontal="center" vertical="center"/>
    </xf>
    <xf numFmtId="0" fontId="21" fillId="10" borderId="18" xfId="0" applyFont="1" applyFill="1" applyBorder="1" applyAlignment="1">
      <alignment wrapText="1"/>
    </xf>
    <xf numFmtId="2" fontId="22" fillId="2" borderId="39" xfId="0" applyNumberFormat="1" applyFont="1" applyFill="1" applyBorder="1" applyAlignment="1">
      <alignment horizontal="center" vertical="center"/>
    </xf>
    <xf numFmtId="2" fontId="22" fillId="2" borderId="0" xfId="0" applyNumberFormat="1" applyFont="1" applyFill="1" applyBorder="1" applyAlignment="1">
      <alignment horizontal="center" vertical="center"/>
    </xf>
    <xf numFmtId="2" fontId="22" fillId="2" borderId="40" xfId="0" applyNumberFormat="1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wrapText="1"/>
    </xf>
    <xf numFmtId="0" fontId="21" fillId="2" borderId="19" xfId="0" applyFont="1" applyFill="1" applyBorder="1" applyAlignment="1">
      <alignment wrapText="1"/>
    </xf>
    <xf numFmtId="2" fontId="22" fillId="2" borderId="41" xfId="0" applyNumberFormat="1" applyFont="1" applyFill="1" applyBorder="1" applyAlignment="1">
      <alignment horizontal="center" vertical="center"/>
    </xf>
    <xf numFmtId="2" fontId="22" fillId="2" borderId="42" xfId="0" applyNumberFormat="1" applyFont="1" applyFill="1" applyBorder="1" applyAlignment="1">
      <alignment horizontal="center" vertical="center"/>
    </xf>
    <xf numFmtId="2" fontId="22" fillId="2" borderId="43" xfId="0" applyNumberFormat="1" applyFont="1" applyFill="1" applyBorder="1" applyAlignment="1">
      <alignment horizontal="center" vertical="center"/>
    </xf>
    <xf numFmtId="165" fontId="22" fillId="2" borderId="0" xfId="0" applyNumberFormat="1" applyFont="1" applyFill="1" applyAlignment="1">
      <alignment horizontal="center" vertical="center"/>
    </xf>
    <xf numFmtId="0" fontId="21" fillId="10" borderId="19" xfId="0" applyFont="1" applyFill="1" applyBorder="1" applyAlignment="1">
      <alignment wrapText="1"/>
    </xf>
    <xf numFmtId="2" fontId="22" fillId="2" borderId="0" xfId="0" applyNumberFormat="1" applyFont="1" applyFill="1" applyAlignment="1">
      <alignment horizontal="center" vertical="center"/>
    </xf>
    <xf numFmtId="0" fontId="12" fillId="2" borderId="0" xfId="2" applyFont="1" applyFill="1" applyAlignment="1">
      <alignment horizontal="center"/>
    </xf>
    <xf numFmtId="9" fontId="25" fillId="2" borderId="0" xfId="0" applyNumberFormat="1" applyFont="1" applyFill="1"/>
    <xf numFmtId="0" fontId="29" fillId="2" borderId="1" xfId="0" applyFont="1" applyFill="1" applyBorder="1" applyAlignment="1">
      <alignment horizontal="left"/>
    </xf>
    <xf numFmtId="166" fontId="29" fillId="2" borderId="1" xfId="0" applyNumberFormat="1" applyFont="1" applyFill="1" applyBorder="1" applyAlignment="1">
      <alignment horizontal="right"/>
    </xf>
    <xf numFmtId="0" fontId="29" fillId="2" borderId="4" xfId="0" applyFont="1" applyFill="1" applyBorder="1" applyAlignment="1">
      <alignment horizontal="left"/>
    </xf>
    <xf numFmtId="166" fontId="5" fillId="2" borderId="4" xfId="0" applyNumberFormat="1" applyFont="1" applyFill="1" applyBorder="1" applyAlignment="1">
      <alignment horizontal="right"/>
    </xf>
    <xf numFmtId="0" fontId="5" fillId="2" borderId="1" xfId="0" applyFont="1" applyFill="1" applyBorder="1"/>
    <xf numFmtId="4" fontId="35" fillId="2" borderId="1" xfId="0" applyNumberFormat="1" applyFont="1" applyFill="1" applyBorder="1"/>
    <xf numFmtId="168" fontId="5" fillId="2" borderId="1" xfId="0" applyNumberFormat="1" applyFont="1" applyFill="1" applyBorder="1"/>
    <xf numFmtId="2" fontId="5" fillId="2" borderId="1" xfId="0" applyNumberFormat="1" applyFont="1" applyFill="1" applyBorder="1"/>
    <xf numFmtId="0" fontId="5" fillId="16" borderId="1" xfId="0" applyFont="1" applyFill="1" applyBorder="1"/>
    <xf numFmtId="4" fontId="35" fillId="10" borderId="1" xfId="0" applyNumberFormat="1" applyFont="1" applyFill="1" applyBorder="1" applyAlignment="1">
      <alignment horizontal="center"/>
    </xf>
    <xf numFmtId="0" fontId="35" fillId="16" borderId="0" xfId="0" applyFont="1" applyFill="1" applyAlignment="1">
      <alignment horizontal="center"/>
    </xf>
    <xf numFmtId="0" fontId="25" fillId="15" borderId="4" xfId="0" applyFont="1" applyFill="1" applyBorder="1" applyAlignment="1">
      <alignment horizontal="center" vertical="center" wrapText="1"/>
    </xf>
    <xf numFmtId="14" fontId="25" fillId="15" borderId="4" xfId="0" applyNumberFormat="1" applyFont="1" applyFill="1" applyBorder="1" applyAlignment="1">
      <alignment horizontal="center" vertical="center" wrapText="1"/>
    </xf>
    <xf numFmtId="0" fontId="25" fillId="15" borderId="0" xfId="0" applyFont="1" applyFill="1" applyAlignment="1">
      <alignment horizontal="center"/>
    </xf>
    <xf numFmtId="0" fontId="22" fillId="2" borderId="1" xfId="0" applyFont="1" applyFill="1" applyBorder="1"/>
    <xf numFmtId="166" fontId="30" fillId="2" borderId="1" xfId="0" applyNumberFormat="1" applyFont="1" applyFill="1" applyBorder="1"/>
    <xf numFmtId="9" fontId="30" fillId="2" borderId="1" xfId="0" applyNumberFormat="1" applyFont="1" applyFill="1" applyBorder="1"/>
    <xf numFmtId="0" fontId="21" fillId="2" borderId="1" xfId="0" applyFont="1" applyFill="1" applyBorder="1"/>
    <xf numFmtId="166" fontId="36" fillId="2" borderId="1" xfId="0" applyNumberFormat="1" applyFont="1" applyFill="1" applyBorder="1"/>
    <xf numFmtId="9" fontId="36" fillId="2" borderId="1" xfId="0" applyNumberFormat="1" applyFont="1" applyFill="1" applyBorder="1"/>
    <xf numFmtId="0" fontId="21" fillId="20" borderId="1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/>
    <xf numFmtId="0" fontId="29" fillId="5" borderId="1" xfId="0" applyFont="1" applyFill="1" applyBorder="1"/>
    <xf numFmtId="0" fontId="25" fillId="5" borderId="1" xfId="0" applyFont="1" applyFill="1" applyBorder="1"/>
    <xf numFmtId="2" fontId="29" fillId="2" borderId="1" xfId="0" applyNumberFormat="1" applyFont="1" applyFill="1" applyBorder="1"/>
    <xf numFmtId="0" fontId="29" fillId="2" borderId="0" xfId="0" applyFont="1" applyFill="1" applyBorder="1"/>
    <xf numFmtId="0" fontId="29" fillId="2" borderId="1" xfId="4" applyNumberFormat="1" applyFont="1" applyFill="1" applyBorder="1"/>
    <xf numFmtId="0" fontId="10" fillId="2" borderId="0" xfId="0" applyFont="1" applyFill="1" applyBorder="1"/>
    <xf numFmtId="1" fontId="29" fillId="2" borderId="0" xfId="0" applyNumberFormat="1" applyFont="1" applyFill="1"/>
    <xf numFmtId="169" fontId="29" fillId="2" borderId="0" xfId="0" applyNumberFormat="1" applyFont="1" applyFill="1"/>
    <xf numFmtId="165" fontId="29" fillId="2" borderId="1" xfId="0" applyNumberFormat="1" applyFont="1" applyFill="1" applyBorder="1"/>
    <xf numFmtId="169" fontId="29" fillId="2" borderId="1" xfId="0" applyNumberFormat="1" applyFont="1" applyFill="1" applyBorder="1"/>
    <xf numFmtId="2" fontId="29" fillId="2" borderId="0" xfId="0" applyNumberFormat="1" applyFont="1" applyFill="1" applyBorder="1"/>
    <xf numFmtId="0" fontId="11" fillId="2" borderId="0" xfId="0" applyFont="1" applyFill="1" applyAlignment="1">
      <alignment horizontal="left"/>
    </xf>
    <xf numFmtId="0" fontId="29" fillId="2" borderId="1" xfId="0" applyFont="1" applyFill="1" applyBorder="1" applyAlignment="1">
      <alignment horizontal="center"/>
    </xf>
    <xf numFmtId="2" fontId="29" fillId="2" borderId="1" xfId="0" applyNumberFormat="1" applyFont="1" applyFill="1" applyBorder="1" applyAlignment="1">
      <alignment horizontal="center"/>
    </xf>
    <xf numFmtId="0" fontId="29" fillId="21" borderId="1" xfId="0" applyFont="1" applyFill="1" applyBorder="1" applyAlignment="1">
      <alignment horizontal="center" vertical="center" wrapText="1"/>
    </xf>
    <xf numFmtId="0" fontId="39" fillId="21" borderId="27" xfId="0" applyFont="1" applyFill="1" applyBorder="1"/>
    <xf numFmtId="0" fontId="39" fillId="21" borderId="9" xfId="0" applyFont="1" applyFill="1" applyBorder="1" applyAlignment="1">
      <alignment horizontal="center" vertical="center" wrapText="1"/>
    </xf>
    <xf numFmtId="14" fontId="29" fillId="21" borderId="4" xfId="0" applyNumberFormat="1" applyFont="1" applyFill="1" applyBorder="1" applyAlignment="1">
      <alignment horizontal="center" vertical="center" wrapText="1"/>
    </xf>
    <xf numFmtId="14" fontId="29" fillId="21" borderId="28" xfId="0" applyNumberFormat="1" applyFont="1" applyFill="1" applyBorder="1" applyAlignment="1">
      <alignment horizontal="center" vertical="center" wrapText="1"/>
    </xf>
    <xf numFmtId="0" fontId="39" fillId="21" borderId="16" xfId="0" applyFont="1" applyFill="1" applyBorder="1" applyAlignment="1">
      <alignment horizontal="left" vertical="center" wrapText="1"/>
    </xf>
    <xf numFmtId="14" fontId="29" fillId="21" borderId="33" xfId="0" applyNumberFormat="1" applyFont="1" applyFill="1" applyBorder="1" applyAlignment="1">
      <alignment horizontal="center" vertical="center" wrapText="1"/>
    </xf>
    <xf numFmtId="14" fontId="29" fillId="21" borderId="34" xfId="0" applyNumberFormat="1" applyFont="1" applyFill="1" applyBorder="1" applyAlignment="1">
      <alignment horizontal="center" vertical="center" wrapText="1"/>
    </xf>
    <xf numFmtId="14" fontId="29" fillId="21" borderId="35" xfId="0" applyNumberFormat="1" applyFont="1" applyFill="1" applyBorder="1" applyAlignment="1">
      <alignment horizontal="center" vertical="center" wrapText="1"/>
    </xf>
    <xf numFmtId="0" fontId="39" fillId="21" borderId="16" xfId="0" applyFont="1" applyFill="1" applyBorder="1" applyAlignment="1">
      <alignment horizontal="left" vertical="center"/>
    </xf>
    <xf numFmtId="0" fontId="39" fillId="21" borderId="16" xfId="0" applyFont="1" applyFill="1" applyBorder="1"/>
    <xf numFmtId="0" fontId="29" fillId="21" borderId="0" xfId="0" applyFont="1" applyFill="1" applyAlignment="1">
      <alignment horizontal="center"/>
    </xf>
    <xf numFmtId="0" fontId="29" fillId="21" borderId="1" xfId="0" applyFont="1" applyFill="1" applyBorder="1" applyAlignment="1">
      <alignment horizontal="center" vertical="center"/>
    </xf>
    <xf numFmtId="0" fontId="29" fillId="21" borderId="1" xfId="0" applyFont="1" applyFill="1" applyBorder="1"/>
    <xf numFmtId="0" fontId="29" fillId="21" borderId="1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39" fillId="3" borderId="1" xfId="0" applyFont="1" applyFill="1" applyBorder="1" applyAlignment="1">
      <alignment horizontal="left" vertical="center" wrapText="1"/>
    </xf>
    <xf numFmtId="166" fontId="39" fillId="3" borderId="1" xfId="0" applyNumberFormat="1" applyFont="1" applyFill="1" applyBorder="1" applyAlignment="1">
      <alignment horizontal="right" vertical="center"/>
    </xf>
    <xf numFmtId="0" fontId="21" fillId="15" borderId="1" xfId="0" applyFont="1" applyFill="1" applyBorder="1" applyAlignment="1">
      <alignment horizontal="center"/>
    </xf>
    <xf numFmtId="9" fontId="37" fillId="15" borderId="1" xfId="0" applyNumberFormat="1" applyFont="1" applyFill="1" applyBorder="1" applyAlignment="1">
      <alignment horizontal="right"/>
    </xf>
    <xf numFmtId="6" fontId="37" fillId="15" borderId="1" xfId="0" applyNumberFormat="1" applyFont="1" applyFill="1" applyBorder="1" applyAlignment="1">
      <alignment horizontal="right"/>
    </xf>
    <xf numFmtId="8" fontId="37" fillId="15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5" fillId="2" borderId="0" xfId="0" applyFont="1" applyFill="1" applyBorder="1" applyAlignment="1"/>
    <xf numFmtId="0" fontId="2" fillId="22" borderId="1" xfId="0" applyFont="1" applyFill="1" applyBorder="1"/>
    <xf numFmtId="0" fontId="2" fillId="22" borderId="1" xfId="0" applyFont="1" applyFill="1" applyBorder="1" applyAlignment="1">
      <alignment horizontal="center" vertical="center" wrapText="1"/>
    </xf>
    <xf numFmtId="1" fontId="2" fillId="2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43" fillId="0" borderId="1" xfId="0" applyNumberFormat="1" applyFont="1" applyFill="1" applyBorder="1" applyAlignment="1">
      <alignment horizontal="center"/>
    </xf>
    <xf numFmtId="166" fontId="2" fillId="10" borderId="1" xfId="0" applyNumberFormat="1" applyFont="1" applyFill="1" applyBorder="1" applyAlignment="1">
      <alignment horizontal="center"/>
    </xf>
    <xf numFmtId="0" fontId="43" fillId="0" borderId="7" xfId="0" applyFont="1" applyFill="1" applyBorder="1" applyAlignment="1">
      <alignment horizontal="left"/>
    </xf>
    <xf numFmtId="0" fontId="43" fillId="0" borderId="9" xfId="0" applyFont="1" applyFill="1" applyBorder="1" applyAlignment="1">
      <alignment horizontal="center"/>
    </xf>
    <xf numFmtId="0" fontId="0" fillId="0" borderId="9" xfId="0" applyFont="1" applyBorder="1"/>
    <xf numFmtId="167" fontId="43" fillId="0" borderId="1" xfId="0" applyNumberFormat="1" applyFont="1" applyBorder="1" applyAlignment="1">
      <alignment horizontal="center"/>
    </xf>
    <xf numFmtId="0" fontId="0" fillId="0" borderId="0" xfId="0" applyFont="1"/>
    <xf numFmtId="166" fontId="0" fillId="0" borderId="0" xfId="0" applyNumberFormat="1" applyFont="1"/>
    <xf numFmtId="0" fontId="43" fillId="0" borderId="1" xfId="0" applyFont="1" applyFill="1" applyBorder="1" applyAlignment="1">
      <alignment horizontal="left"/>
    </xf>
    <xf numFmtId="0" fontId="43" fillId="0" borderId="1" xfId="0" applyFont="1" applyFill="1" applyBorder="1" applyAlignment="1">
      <alignment horizontal="center"/>
    </xf>
    <xf numFmtId="170" fontId="43" fillId="0" borderId="1" xfId="0" applyNumberFormat="1" applyFont="1" applyBorder="1" applyAlignment="1">
      <alignment horizontal="center"/>
    </xf>
    <xf numFmtId="0" fontId="42" fillId="0" borderId="2" xfId="0" applyFont="1" applyBorder="1" applyAlignment="1">
      <alignment horizontal="center" vertical="center"/>
    </xf>
    <xf numFmtId="166" fontId="43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7" fontId="43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left" vertical="center"/>
    </xf>
    <xf numFmtId="0" fontId="46" fillId="2" borderId="27" xfId="0" applyFont="1" applyFill="1" applyBorder="1" applyAlignment="1">
      <alignment vertical="center" wrapText="1"/>
    </xf>
    <xf numFmtId="0" fontId="46" fillId="2" borderId="9" xfId="0" applyFont="1" applyFill="1" applyBorder="1" applyAlignment="1">
      <alignment vertical="center" wrapText="1"/>
    </xf>
    <xf numFmtId="166" fontId="5" fillId="0" borderId="0" xfId="0" applyNumberFormat="1" applyFont="1"/>
    <xf numFmtId="44" fontId="18" fillId="4" borderId="1" xfId="1" applyFont="1" applyFill="1" applyBorder="1"/>
    <xf numFmtId="0" fontId="48" fillId="24" borderId="1" xfId="0" applyFont="1" applyFill="1" applyBorder="1" applyAlignment="1">
      <alignment horizontal="left"/>
    </xf>
    <xf numFmtId="1" fontId="48" fillId="24" borderId="1" xfId="0" applyNumberFormat="1" applyFont="1" applyFill="1" applyBorder="1" applyAlignment="1">
      <alignment horizontal="center"/>
    </xf>
    <xf numFmtId="0" fontId="48" fillId="24" borderId="1" xfId="0" applyFont="1" applyFill="1" applyBorder="1" applyAlignment="1">
      <alignment horizontal="center"/>
    </xf>
    <xf numFmtId="1" fontId="0" fillId="0" borderId="1" xfId="0" applyNumberFormat="1" applyBorder="1"/>
    <xf numFmtId="1" fontId="5" fillId="0" borderId="1" xfId="0" applyNumberFormat="1" applyFont="1" applyBorder="1" applyAlignment="1">
      <alignment horizontal="center"/>
    </xf>
    <xf numFmtId="172" fontId="5" fillId="0" borderId="1" xfId="0" applyNumberFormat="1" applyFont="1" applyBorder="1" applyAlignment="1">
      <alignment horizontal="center"/>
    </xf>
    <xf numFmtId="164" fontId="18" fillId="4" borderId="7" xfId="0" applyNumberFormat="1" applyFont="1" applyFill="1" applyBorder="1" applyAlignment="1"/>
    <xf numFmtId="164" fontId="18" fillId="4" borderId="8" xfId="0" applyNumberFormat="1" applyFont="1" applyFill="1" applyBorder="1" applyAlignment="1"/>
    <xf numFmtId="164" fontId="18" fillId="4" borderId="9" xfId="0" applyNumberFormat="1" applyFont="1" applyFill="1" applyBorder="1" applyAlignment="1"/>
    <xf numFmtId="0" fontId="20" fillId="15" borderId="7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19" fillId="0" borderId="7" xfId="0" applyFont="1" applyBorder="1" applyAlignment="1">
      <alignment horizontal="center" vertical="center" wrapText="1"/>
    </xf>
    <xf numFmtId="173" fontId="19" fillId="0" borderId="7" xfId="4" applyNumberFormat="1" applyFont="1" applyBorder="1" applyAlignment="1">
      <alignment horizontal="center" vertical="center" wrapText="1"/>
    </xf>
    <xf numFmtId="2" fontId="19" fillId="0" borderId="7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4" fontId="0" fillId="0" borderId="1" xfId="0" applyNumberFormat="1" applyBorder="1" applyAlignment="1">
      <alignment horizontal="center" vertical="center" wrapText="1"/>
    </xf>
    <xf numFmtId="0" fontId="19" fillId="0" borderId="22" xfId="0" applyFont="1" applyBorder="1"/>
    <xf numFmtId="0" fontId="19" fillId="0" borderId="1" xfId="0" applyFont="1" applyBorder="1" applyAlignment="1">
      <alignment horizontal="center" vertical="center" wrapText="1"/>
    </xf>
    <xf numFmtId="173" fontId="19" fillId="0" borderId="1" xfId="4" applyNumberFormat="1" applyFont="1" applyBorder="1" applyAlignment="1">
      <alignment horizontal="center" vertical="center" wrapText="1"/>
    </xf>
    <xf numFmtId="2" fontId="19" fillId="0" borderId="1" xfId="3" applyNumberFormat="1" applyFont="1" applyBorder="1" applyAlignment="1">
      <alignment horizontal="center" vertical="center" wrapText="1"/>
    </xf>
    <xf numFmtId="174" fontId="0" fillId="0" borderId="0" xfId="0" applyNumberFormat="1"/>
    <xf numFmtId="0" fontId="20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10" fontId="19" fillId="2" borderId="0" xfId="4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2" fontId="19" fillId="2" borderId="0" xfId="0" applyNumberFormat="1" applyFont="1" applyFill="1" applyBorder="1" applyAlignment="1">
      <alignment horizontal="center" vertical="center" wrapText="1"/>
    </xf>
    <xf numFmtId="9" fontId="2" fillId="0" borderId="1" xfId="4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5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3" fontId="0" fillId="0" borderId="0" xfId="0" applyNumberFormat="1"/>
    <xf numFmtId="2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20" xfId="0" applyBorder="1"/>
    <xf numFmtId="2" fontId="0" fillId="0" borderId="21" xfId="0" applyNumberFormat="1" applyBorder="1"/>
    <xf numFmtId="0" fontId="49" fillId="0" borderId="0" xfId="0" applyFont="1"/>
    <xf numFmtId="0" fontId="50" fillId="0" borderId="0" xfId="0" applyFont="1"/>
    <xf numFmtId="0" fontId="51" fillId="0" borderId="0" xfId="0" applyFont="1"/>
    <xf numFmtId="166" fontId="0" fillId="0" borderId="1" xfId="0" applyNumberFormat="1" applyBorder="1"/>
    <xf numFmtId="172" fontId="2" fillId="1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6" fontId="25" fillId="2" borderId="1" xfId="0" applyNumberFormat="1" applyFont="1" applyFill="1" applyBorder="1"/>
    <xf numFmtId="166" fontId="25" fillId="24" borderId="1" xfId="0" applyNumberFormat="1" applyFont="1" applyFill="1" applyBorder="1"/>
    <xf numFmtId="0" fontId="25" fillId="18" borderId="4" xfId="0" applyFont="1" applyFill="1" applyBorder="1"/>
    <xf numFmtId="0" fontId="28" fillId="18" borderId="4" xfId="0" applyFont="1" applyFill="1" applyBorder="1" applyAlignment="1">
      <alignment horizontal="center"/>
    </xf>
    <xf numFmtId="43" fontId="5" fillId="0" borderId="0" xfId="3" applyFont="1" applyBorder="1"/>
    <xf numFmtId="43" fontId="5" fillId="0" borderId="0" xfId="0" applyNumberFormat="1" applyFont="1" applyBorder="1"/>
    <xf numFmtId="0" fontId="0" fillId="0" borderId="36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53" fillId="0" borderId="0" xfId="0" applyFont="1" applyBorder="1"/>
    <xf numFmtId="0" fontId="53" fillId="0" borderId="0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53" fillId="0" borderId="0" xfId="0" applyFont="1" applyFill="1" applyBorder="1"/>
    <xf numFmtId="0" fontId="15" fillId="0" borderId="0" xfId="0" applyFont="1" applyBorder="1"/>
    <xf numFmtId="0" fontId="15" fillId="0" borderId="0" xfId="0" applyFont="1" applyBorder="1" applyAlignment="1">
      <alignment horizontal="center" vertical="center"/>
    </xf>
    <xf numFmtId="0" fontId="53" fillId="0" borderId="40" xfId="0" applyFont="1" applyBorder="1"/>
    <xf numFmtId="0" fontId="15" fillId="0" borderId="39" xfId="0" applyFont="1" applyBorder="1" applyAlignment="1">
      <alignment horizontal="center" vertical="center" wrapText="1"/>
    </xf>
    <xf numFmtId="0" fontId="54" fillId="0" borderId="0" xfId="0" applyFont="1" applyBorder="1"/>
    <xf numFmtId="0" fontId="55" fillId="0" borderId="0" xfId="0" applyFont="1" applyBorder="1"/>
    <xf numFmtId="0" fontId="15" fillId="0" borderId="39" xfId="0" applyFont="1" applyBorder="1" applyAlignment="1">
      <alignment vertical="center"/>
    </xf>
    <xf numFmtId="0" fontId="15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/>
    <xf numFmtId="0" fontId="20" fillId="0" borderId="0" xfId="0" applyFont="1" applyBorder="1" applyAlignment="1">
      <alignment horizontal="right"/>
    </xf>
    <xf numFmtId="0" fontId="20" fillId="0" borderId="0" xfId="0" applyFont="1" applyBorder="1"/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5" fillId="25" borderId="1" xfId="0" applyFont="1" applyFill="1" applyBorder="1"/>
    <xf numFmtId="166" fontId="25" fillId="25" borderId="1" xfId="0" applyNumberFormat="1" applyFont="1" applyFill="1" applyBorder="1"/>
    <xf numFmtId="166" fontId="5" fillId="25" borderId="1" xfId="0" applyNumberFormat="1" applyFont="1" applyFill="1" applyBorder="1"/>
    <xf numFmtId="0" fontId="26" fillId="26" borderId="1" xfId="0" applyFont="1" applyFill="1" applyBorder="1" applyAlignment="1">
      <alignment horizontal="center" vertical="center"/>
    </xf>
    <xf numFmtId="0" fontId="26" fillId="26" borderId="1" xfId="0" applyFont="1" applyFill="1" applyBorder="1" applyAlignment="1">
      <alignment horizontal="center" vertical="center" wrapText="1"/>
    </xf>
    <xf numFmtId="9" fontId="26" fillId="26" borderId="1" xfId="0" applyNumberFormat="1" applyFont="1" applyFill="1" applyBorder="1" applyAlignment="1">
      <alignment horizontal="center" vertical="center" wrapText="1"/>
    </xf>
    <xf numFmtId="10" fontId="26" fillId="26" borderId="1" xfId="0" applyNumberFormat="1" applyFont="1" applyFill="1" applyBorder="1" applyAlignment="1">
      <alignment horizontal="center" vertical="center" wrapText="1"/>
    </xf>
    <xf numFmtId="0" fontId="25" fillId="27" borderId="1" xfId="0" applyFont="1" applyFill="1" applyBorder="1"/>
    <xf numFmtId="166" fontId="25" fillId="27" borderId="1" xfId="0" applyNumberFormat="1" applyFont="1" applyFill="1" applyBorder="1"/>
    <xf numFmtId="0" fontId="5" fillId="27" borderId="1" xfId="0" applyFont="1" applyFill="1" applyBorder="1"/>
    <xf numFmtId="0" fontId="27" fillId="2" borderId="1" xfId="5" applyFont="1" applyFill="1" applyBorder="1" applyAlignment="1">
      <alignment horizontal="left" vertical="center" wrapText="1"/>
    </xf>
    <xf numFmtId="0" fontId="26" fillId="28" borderId="1" xfId="0" applyFont="1" applyFill="1" applyBorder="1" applyAlignment="1">
      <alignment horizontal="center" vertical="center"/>
    </xf>
    <xf numFmtId="0" fontId="26" fillId="28" borderId="1" xfId="0" applyFont="1" applyFill="1" applyBorder="1" applyAlignment="1">
      <alignment horizontal="center" vertical="center" wrapText="1"/>
    </xf>
    <xf numFmtId="9" fontId="26" fillId="28" borderId="1" xfId="0" applyNumberFormat="1" applyFont="1" applyFill="1" applyBorder="1" applyAlignment="1">
      <alignment horizontal="center" vertical="center" wrapText="1"/>
    </xf>
    <xf numFmtId="10" fontId="26" fillId="28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5" fontId="5" fillId="17" borderId="1" xfId="0" applyNumberFormat="1" applyFont="1" applyFill="1" applyBorder="1"/>
    <xf numFmtId="0" fontId="56" fillId="0" borderId="3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0" fillId="2" borderId="22" xfId="0" applyFill="1" applyBorder="1"/>
    <xf numFmtId="0" fontId="0" fillId="2" borderId="23" xfId="0" applyFill="1" applyBorder="1"/>
    <xf numFmtId="0" fontId="0" fillId="2" borderId="4" xfId="0" applyFill="1" applyBorder="1"/>
    <xf numFmtId="0" fontId="0" fillId="2" borderId="14" xfId="0" applyFill="1" applyBorder="1"/>
    <xf numFmtId="0" fontId="0" fillId="2" borderId="3" xfId="0" applyFill="1" applyBorder="1"/>
    <xf numFmtId="0" fontId="0" fillId="2" borderId="6" xfId="0" applyFill="1" applyBorder="1"/>
    <xf numFmtId="0" fontId="0" fillId="2" borderId="2" xfId="0" applyFill="1" applyBorder="1"/>
    <xf numFmtId="0" fontId="0" fillId="2" borderId="5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23" xfId="0" applyBorder="1"/>
    <xf numFmtId="0" fontId="2" fillId="0" borderId="1" xfId="0" applyFont="1" applyBorder="1" applyAlignment="1">
      <alignment horizontal="center" vertical="center"/>
    </xf>
    <xf numFmtId="0" fontId="3" fillId="0" borderId="0" xfId="2"/>
    <xf numFmtId="0" fontId="0" fillId="0" borderId="0" xfId="0" applyAlignment="1"/>
    <xf numFmtId="0" fontId="3" fillId="2" borderId="0" xfId="2" applyFill="1"/>
    <xf numFmtId="0" fontId="3" fillId="0" borderId="0" xfId="2" applyBorder="1"/>
    <xf numFmtId="0" fontId="57" fillId="0" borderId="0" xfId="2" applyFont="1"/>
    <xf numFmtId="0" fontId="57" fillId="0" borderId="0" xfId="2" applyFont="1" applyAlignment="1"/>
    <xf numFmtId="166" fontId="32" fillId="2" borderId="0" xfId="0" applyNumberFormat="1" applyFont="1" applyFill="1"/>
    <xf numFmtId="9" fontId="22" fillId="2" borderId="36" xfId="4" applyFont="1" applyFill="1" applyBorder="1" applyAlignment="1">
      <alignment horizontal="center" vertical="center"/>
    </xf>
    <xf numFmtId="9" fontId="22" fillId="2" borderId="37" xfId="4" applyFont="1" applyFill="1" applyBorder="1" applyAlignment="1">
      <alignment horizontal="center" vertical="center"/>
    </xf>
    <xf numFmtId="9" fontId="22" fillId="2" borderId="38" xfId="4" applyFont="1" applyFill="1" applyBorder="1" applyAlignment="1">
      <alignment horizontal="center" vertical="center"/>
    </xf>
    <xf numFmtId="9" fontId="22" fillId="2" borderId="39" xfId="4" applyFont="1" applyFill="1" applyBorder="1" applyAlignment="1">
      <alignment horizontal="center" vertical="center"/>
    </xf>
    <xf numFmtId="9" fontId="22" fillId="2" borderId="0" xfId="4" applyFont="1" applyFill="1" applyBorder="1" applyAlignment="1">
      <alignment horizontal="center" vertical="center"/>
    </xf>
    <xf numFmtId="9" fontId="22" fillId="2" borderId="40" xfId="4" applyFont="1" applyFill="1" applyBorder="1" applyAlignment="1">
      <alignment horizontal="center" vertical="center"/>
    </xf>
    <xf numFmtId="9" fontId="22" fillId="2" borderId="41" xfId="4" applyFont="1" applyFill="1" applyBorder="1" applyAlignment="1">
      <alignment horizontal="center" vertical="center"/>
    </xf>
    <xf numFmtId="9" fontId="22" fillId="2" borderId="42" xfId="4" applyFont="1" applyFill="1" applyBorder="1" applyAlignment="1">
      <alignment horizontal="center" vertical="center"/>
    </xf>
    <xf numFmtId="9" fontId="22" fillId="2" borderId="43" xfId="4" applyFont="1" applyFill="1" applyBorder="1" applyAlignment="1">
      <alignment horizontal="center" vertical="center"/>
    </xf>
    <xf numFmtId="164" fontId="22" fillId="2" borderId="36" xfId="0" applyNumberFormat="1" applyFont="1" applyFill="1" applyBorder="1" applyAlignment="1">
      <alignment horizontal="center" vertical="center"/>
    </xf>
    <xf numFmtId="164" fontId="22" fillId="2" borderId="37" xfId="0" applyNumberFormat="1" applyFont="1" applyFill="1" applyBorder="1" applyAlignment="1">
      <alignment horizontal="center" vertical="center"/>
    </xf>
    <xf numFmtId="164" fontId="22" fillId="2" borderId="38" xfId="0" applyNumberFormat="1" applyFont="1" applyFill="1" applyBorder="1" applyAlignment="1">
      <alignment horizontal="center" vertical="center"/>
    </xf>
    <xf numFmtId="164" fontId="22" fillId="2" borderId="39" xfId="0" applyNumberFormat="1" applyFont="1" applyFill="1" applyBorder="1" applyAlignment="1">
      <alignment horizontal="center" vertical="center"/>
    </xf>
    <xf numFmtId="164" fontId="22" fillId="2" borderId="0" xfId="0" applyNumberFormat="1" applyFont="1" applyFill="1" applyBorder="1" applyAlignment="1">
      <alignment horizontal="center" vertical="center"/>
    </xf>
    <xf numFmtId="164" fontId="22" fillId="2" borderId="40" xfId="0" applyNumberFormat="1" applyFont="1" applyFill="1" applyBorder="1" applyAlignment="1">
      <alignment horizontal="center" vertical="center"/>
    </xf>
    <xf numFmtId="164" fontId="22" fillId="2" borderId="41" xfId="0" applyNumberFormat="1" applyFont="1" applyFill="1" applyBorder="1" applyAlignment="1">
      <alignment horizontal="center" vertical="center"/>
    </xf>
    <xf numFmtId="164" fontId="22" fillId="2" borderId="42" xfId="0" applyNumberFormat="1" applyFont="1" applyFill="1" applyBorder="1" applyAlignment="1">
      <alignment horizontal="center" vertical="center"/>
    </xf>
    <xf numFmtId="164" fontId="22" fillId="2" borderId="43" xfId="0" applyNumberFormat="1" applyFont="1" applyFill="1" applyBorder="1" applyAlignment="1">
      <alignment horizontal="center" vertical="center"/>
    </xf>
    <xf numFmtId="44" fontId="18" fillId="9" borderId="1" xfId="1" applyNumberFormat="1" applyFont="1" applyFill="1" applyBorder="1" applyAlignment="1">
      <alignment horizontal="center"/>
    </xf>
    <xf numFmtId="9" fontId="22" fillId="2" borderId="0" xfId="0" applyNumberFormat="1" applyFont="1" applyFill="1"/>
    <xf numFmtId="0" fontId="21" fillId="29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9" fontId="22" fillId="0" borderId="1" xfId="4" applyFont="1" applyBorder="1" applyAlignment="1">
      <alignment horizontal="center" vertical="center"/>
    </xf>
    <xf numFmtId="164" fontId="22" fillId="0" borderId="1" xfId="0" applyNumberFormat="1" applyFont="1" applyBorder="1"/>
    <xf numFmtId="166" fontId="22" fillId="2" borderId="0" xfId="0" applyNumberFormat="1" applyFont="1" applyFill="1"/>
    <xf numFmtId="164" fontId="22" fillId="30" borderId="1" xfId="0" applyNumberFormat="1" applyFont="1" applyFill="1" applyBorder="1" applyAlignment="1">
      <alignment horizontal="center" vertical="center"/>
    </xf>
    <xf numFmtId="0" fontId="21" fillId="29" borderId="1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2" fontId="35" fillId="31" borderId="1" xfId="0" applyNumberFormat="1" applyFont="1" applyFill="1" applyBorder="1"/>
    <xf numFmtId="1" fontId="29" fillId="2" borderId="1" xfId="0" applyNumberFormat="1" applyFont="1" applyFill="1" applyBorder="1"/>
    <xf numFmtId="0" fontId="6" fillId="17" borderId="1" xfId="0" applyFont="1" applyFill="1" applyBorder="1" applyAlignment="1">
      <alignment horizontal="center"/>
    </xf>
    <xf numFmtId="2" fontId="6" fillId="17" borderId="1" xfId="0" applyNumberFormat="1" applyFont="1" applyFill="1" applyBorder="1" applyAlignment="1">
      <alignment horizontal="center"/>
    </xf>
    <xf numFmtId="2" fontId="0" fillId="11" borderId="1" xfId="0" applyNumberForma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2" fontId="14" fillId="11" borderId="1" xfId="0" applyNumberFormat="1" applyFont="1" applyFill="1" applyBorder="1" applyAlignment="1">
      <alignment horizontal="center"/>
    </xf>
    <xf numFmtId="0" fontId="14" fillId="11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17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5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2" fillId="0" borderId="1" xfId="2" applyFont="1" applyBorder="1" applyAlignment="1">
      <alignment horizontal="center"/>
    </xf>
    <xf numFmtId="0" fontId="40" fillId="0" borderId="0" xfId="0" applyFont="1" applyAlignment="1">
      <alignment horizontal="center" wrapText="1"/>
    </xf>
    <xf numFmtId="0" fontId="13" fillId="11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textRotation="255" wrapText="1"/>
    </xf>
    <xf numFmtId="0" fontId="2" fillId="11" borderId="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43" fillId="0" borderId="7" xfId="0" applyFont="1" applyFill="1" applyBorder="1" applyAlignment="1">
      <alignment horizontal="left"/>
    </xf>
    <xf numFmtId="0" fontId="43" fillId="0" borderId="9" xfId="0" applyFont="1" applyFill="1" applyBorder="1" applyAlignment="1">
      <alignment horizontal="left"/>
    </xf>
    <xf numFmtId="0" fontId="43" fillId="0" borderId="1" xfId="0" applyFont="1" applyFill="1" applyBorder="1" applyAlignment="1">
      <alignment horizontal="center"/>
    </xf>
    <xf numFmtId="0" fontId="0" fillId="17" borderId="1" xfId="0" applyFill="1" applyBorder="1" applyAlignment="1">
      <alignment horizontal="center" wrapText="1"/>
    </xf>
    <xf numFmtId="0" fontId="0" fillId="17" borderId="1" xfId="0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center"/>
    </xf>
    <xf numFmtId="0" fontId="4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wrapText="1"/>
    </xf>
    <xf numFmtId="0" fontId="0" fillId="23" borderId="1" xfId="0" applyFill="1" applyBorder="1" applyAlignment="1">
      <alignment horizontal="center" wrapText="1"/>
    </xf>
    <xf numFmtId="0" fontId="47" fillId="0" borderId="2" xfId="0" applyFont="1" applyBorder="1" applyAlignment="1">
      <alignment horizontal="center"/>
    </xf>
    <xf numFmtId="0" fontId="44" fillId="2" borderId="2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wrapText="1"/>
    </xf>
    <xf numFmtId="0" fontId="28" fillId="0" borderId="9" xfId="0" applyFont="1" applyFill="1" applyBorder="1" applyAlignment="1">
      <alignment horizontal="center" wrapText="1"/>
    </xf>
    <xf numFmtId="0" fontId="28" fillId="0" borderId="7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9" fontId="0" fillId="17" borderId="1" xfId="0" applyNumberFormat="1" applyFill="1" applyBorder="1" applyAlignment="1">
      <alignment horizontal="center" wrapText="1"/>
    </xf>
    <xf numFmtId="0" fontId="0" fillId="23" borderId="1" xfId="0" applyFont="1" applyFill="1" applyBorder="1" applyAlignment="1">
      <alignment horizontal="center" wrapText="1"/>
    </xf>
    <xf numFmtId="171" fontId="0" fillId="23" borderId="1" xfId="0" applyNumberFormat="1" applyFill="1" applyBorder="1" applyAlignment="1">
      <alignment horizontal="center" wrapText="1"/>
    </xf>
    <xf numFmtId="9" fontId="0" fillId="23" borderId="1" xfId="0" applyNumberForma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22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21" fillId="20" borderId="1" xfId="0" applyFont="1" applyFill="1" applyBorder="1" applyAlignment="1">
      <alignment horizontal="center" vertical="center" wrapText="1"/>
    </xf>
    <xf numFmtId="0" fontId="21" fillId="20" borderId="1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21" fillId="29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8" fillId="2" borderId="0" xfId="2" applyFont="1" applyFill="1" applyAlignment="1">
      <alignment horizontal="center"/>
    </xf>
    <xf numFmtId="0" fontId="38" fillId="2" borderId="2" xfId="0" applyFont="1" applyFill="1" applyBorder="1" applyAlignment="1">
      <alignment horizontal="center"/>
    </xf>
    <xf numFmtId="0" fontId="29" fillId="21" borderId="1" xfId="0" applyFont="1" applyFill="1" applyBorder="1" applyAlignment="1">
      <alignment horizontal="center"/>
    </xf>
    <xf numFmtId="166" fontId="20" fillId="15" borderId="7" xfId="0" applyNumberFormat="1" applyFont="1" applyFill="1" applyBorder="1" applyAlignment="1">
      <alignment horizontal="center"/>
    </xf>
    <xf numFmtId="166" fontId="20" fillId="15" borderId="9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2" borderId="0" xfId="0" applyFont="1" applyFill="1" applyAlignment="1">
      <alignment horizontal="center"/>
    </xf>
    <xf numFmtId="0" fontId="2" fillId="0" borderId="16" xfId="0" applyFont="1" applyBorder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15" fillId="21" borderId="16" xfId="0" applyFont="1" applyFill="1" applyBorder="1" applyAlignment="1">
      <alignment horizontal="center"/>
    </xf>
    <xf numFmtId="0" fontId="25" fillId="0" borderId="16" xfId="0" applyFont="1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18" fillId="18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29" fillId="3" borderId="1" xfId="0" applyFont="1" applyFill="1" applyBorder="1" applyAlignment="1">
      <alignment horizontal="center" vertical="center" wrapText="1"/>
    </xf>
    <xf numFmtId="164" fontId="29" fillId="3" borderId="1" xfId="0" applyNumberFormat="1" applyFont="1" applyFill="1" applyBorder="1" applyAlignment="1">
      <alignment horizontal="center" vertical="center" wrapText="1"/>
    </xf>
    <xf numFmtId="44" fontId="29" fillId="3" borderId="7" xfId="1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33" fillId="15" borderId="7" xfId="0" applyFont="1" applyFill="1" applyBorder="1" applyAlignment="1">
      <alignment horizontal="center" vertical="center" wrapText="1"/>
    </xf>
    <xf numFmtId="0" fontId="33" fillId="15" borderId="8" xfId="0" applyFont="1" applyFill="1" applyBorder="1" applyAlignment="1">
      <alignment horizontal="center" vertical="center" wrapText="1"/>
    </xf>
    <xf numFmtId="0" fontId="33" fillId="15" borderId="9" xfId="0" applyFont="1" applyFill="1" applyBorder="1" applyAlignment="1">
      <alignment horizontal="center" vertical="center" wrapText="1"/>
    </xf>
    <xf numFmtId="0" fontId="25" fillId="15" borderId="0" xfId="0" applyFont="1" applyFill="1" applyAlignment="1">
      <alignment horizontal="center"/>
    </xf>
    <xf numFmtId="0" fontId="34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2" borderId="40" xfId="0" applyFont="1" applyFill="1" applyBorder="1" applyAlignment="1">
      <alignment horizontal="center" vertical="center" wrapText="1"/>
    </xf>
    <xf numFmtId="0" fontId="36" fillId="2" borderId="24" xfId="0" applyFont="1" applyFill="1" applyBorder="1" applyAlignment="1">
      <alignment horizontal="center"/>
    </xf>
    <xf numFmtId="0" fontId="36" fillId="2" borderId="25" xfId="0" applyFont="1" applyFill="1" applyBorder="1" applyAlignment="1">
      <alignment horizontal="center"/>
    </xf>
    <xf numFmtId="0" fontId="36" fillId="2" borderId="26" xfId="0" applyFont="1" applyFill="1" applyBorder="1" applyAlignment="1">
      <alignment horizontal="center"/>
    </xf>
    <xf numFmtId="0" fontId="58" fillId="2" borderId="44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60" fillId="4" borderId="0" xfId="0" applyFont="1" applyFill="1" applyBorder="1" applyAlignment="1">
      <alignment horizontal="center"/>
    </xf>
  </cellXfs>
  <cellStyles count="6">
    <cellStyle name="Hipervínculo" xfId="2" builtinId="8"/>
    <cellStyle name="Millares" xfId="3" builtinId="3"/>
    <cellStyle name="Moneda" xfId="1" builtinId="4"/>
    <cellStyle name="Normal" xfId="0" builtinId="0"/>
    <cellStyle name="Normal 2" xfId="5"/>
    <cellStyle name="Porcentaje" xfId="4" builtinId="5"/>
  </cellStyles>
  <dxfs count="0"/>
  <tableStyles count="0" defaultTableStyle="TableStyleMedium2" defaultPivotStyle="PivotStyleLight16"/>
  <colors>
    <mruColors>
      <color rgb="FFFF5050"/>
      <color rgb="FF66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'PRINCIPALES RATIOS'!$B$28</c:f>
              <c:strCache>
                <c:ptCount val="1"/>
                <c:pt idx="0">
                  <c:v>Liquidez General (AC/PC)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'PRINCIPALES RATIOS'!$C$27:$J$27</c:f>
              <c:strCache>
                <c:ptCount val="8"/>
                <c:pt idx="0">
                  <c:v>1ER TRIMESTRE</c:v>
                </c:pt>
                <c:pt idx="1">
                  <c:v>2DO TRIMESTRE</c:v>
                </c:pt>
                <c:pt idx="2">
                  <c:v>3ER TRIMESTRE</c:v>
                </c:pt>
                <c:pt idx="3">
                  <c:v>4TO TRIMESTRE</c:v>
                </c:pt>
                <c:pt idx="4">
                  <c:v>5TO TRIMESTRE</c:v>
                </c:pt>
                <c:pt idx="5">
                  <c:v>6TO TRIMESTRE</c:v>
                </c:pt>
                <c:pt idx="6">
                  <c:v>7MO TRIMESTRE</c:v>
                </c:pt>
                <c:pt idx="7">
                  <c:v>8VO TRIMESTRE</c:v>
                </c:pt>
              </c:strCache>
            </c:strRef>
          </c:cat>
          <c:val>
            <c:numRef>
              <c:f>'PRINCIPALES RATIOS'!$C$28:$J$28</c:f>
              <c:numCache>
                <c:formatCode>_ [$S/.-280A]\ * #,##0.00_ ;_ [$S/.-280A]\ * \-#,##0.00_ ;_ [$S/.-280A]\ * "-"??_ ;_ @_ </c:formatCode>
                <c:ptCount val="8"/>
                <c:pt idx="0">
                  <c:v>12.050136008726319</c:v>
                </c:pt>
                <c:pt idx="1">
                  <c:v>15.515350838422441</c:v>
                </c:pt>
                <c:pt idx="2">
                  <c:v>21.727235697879191</c:v>
                </c:pt>
                <c:pt idx="3">
                  <c:v>49.811365436114428</c:v>
                </c:pt>
                <c:pt idx="4">
                  <c:v>50.837835586443262</c:v>
                </c:pt>
                <c:pt idx="5">
                  <c:v>51.108426427526339</c:v>
                </c:pt>
                <c:pt idx="6">
                  <c:v>50.949032907343842</c:v>
                </c:pt>
                <c:pt idx="7">
                  <c:v>50.950889982454378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7314352"/>
        <c:axId val="307314744"/>
      </c:lineChart>
      <c:catAx>
        <c:axId val="30731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07314744"/>
        <c:crosses val="autoZero"/>
        <c:auto val="1"/>
        <c:lblAlgn val="ctr"/>
        <c:lblOffset val="100"/>
        <c:noMultiLvlLbl val="0"/>
      </c:catAx>
      <c:valAx>
        <c:axId val="307314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[$S/.-280A]\ * #,##0.00_ ;_ [$S/.-280A]\ * \-#,##0.00_ ;_ [$S/.-280A]\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07314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728127734033248E-2"/>
          <c:y val="3.4722222222222224E-2"/>
          <c:w val="0.63252952755905512"/>
          <c:h val="0.96296296296296291"/>
        </c:manualLayout>
      </c:layout>
      <c:pie3DChart>
        <c:varyColors val="1"/>
        <c:ser>
          <c:idx val="0"/>
          <c:order val="0"/>
          <c:spPr>
            <a:solidFill>
              <a:srgbClr val="FFC000"/>
            </a:solidFill>
          </c:spPr>
          <c:explosion val="25"/>
          <c:dPt>
            <c:idx val="0"/>
            <c:bubble3D val="0"/>
            <c:spPr>
              <a:noFill/>
            </c:spPr>
          </c:dPt>
          <c:dPt>
            <c:idx val="1"/>
            <c:bubble3D val="0"/>
            <c:spPr>
              <a:solidFill>
                <a:srgbClr val="00B050"/>
              </a:solidFill>
            </c:spPr>
          </c:dPt>
          <c:dPt>
            <c:idx val="2"/>
            <c:bubble3D val="0"/>
          </c:dPt>
          <c:dLbls>
            <c:dLbl>
              <c:idx val="1"/>
              <c:spPr/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[2]Hoja2!$N$33:$N$35</c:f>
              <c:strCache>
                <c:ptCount val="3"/>
                <c:pt idx="0">
                  <c:v>¿Le gustaría que exista una anfitriona en el local, que lo reciba y ubique en su mesa?</c:v>
                </c:pt>
                <c:pt idx="1">
                  <c:v>a) Si</c:v>
                </c:pt>
                <c:pt idx="2">
                  <c:v>b) No</c:v>
                </c:pt>
              </c:strCache>
            </c:strRef>
          </c:cat>
          <c:val>
            <c:numRef>
              <c:f>[2]Hoja2!$O$33:$O$35</c:f>
              <c:numCache>
                <c:formatCode>General</c:formatCode>
                <c:ptCount val="3"/>
                <c:pt idx="1">
                  <c:v>45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600"/>
              <a:t>2.-¿Acostumbra</a:t>
            </a:r>
            <a:r>
              <a:rPr lang="es-PE" sz="1600" baseline="0"/>
              <a:t> visitar centros de diversion - discotecas</a:t>
            </a:r>
            <a:r>
              <a:rPr lang="es-PE" sz="1600"/>
              <a:t>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ENCUESTA1!$M$17:$M$18</c:f>
              <c:strCache>
                <c:ptCount val="2"/>
                <c:pt idx="0">
                  <c:v>a) Si</c:v>
                </c:pt>
                <c:pt idx="1">
                  <c:v>b) No</c:v>
                </c:pt>
              </c:strCache>
            </c:strRef>
          </c:cat>
          <c:val>
            <c:numRef>
              <c:f>ENCUESTA1!$N$17:$N$18</c:f>
              <c:numCache>
                <c:formatCode>General</c:formatCode>
                <c:ptCount val="2"/>
                <c:pt idx="0">
                  <c:v>92</c:v>
                </c:pt>
                <c:pt idx="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600"/>
              <a:t>3.-¿Con</a:t>
            </a:r>
            <a:r>
              <a:rPr lang="es-PE" sz="1600" baseline="0"/>
              <a:t> que frecuencia visita un centro de diversion- discoteca</a:t>
            </a:r>
            <a:endParaRPr lang="es-PE" sz="1600"/>
          </a:p>
        </c:rich>
      </c:tx>
      <c:layout>
        <c:manualLayout>
          <c:xMode val="edge"/>
          <c:yMode val="edge"/>
          <c:x val="0.177164391272783"/>
          <c:y val="4.20202300938465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ENCUESTA1!$M$21:$M$23</c:f>
              <c:strCache>
                <c:ptCount val="3"/>
                <c:pt idx="0">
                  <c:v>a) Semanal</c:v>
                </c:pt>
                <c:pt idx="1">
                  <c:v>b) Quincenal</c:v>
                </c:pt>
                <c:pt idx="2">
                  <c:v>c) Mensual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ENCUESTA1!$M$21:$M$23</c:f>
              <c:strCache>
                <c:ptCount val="3"/>
                <c:pt idx="0">
                  <c:v>a) Semanal</c:v>
                </c:pt>
                <c:pt idx="1">
                  <c:v>b) Quincenal</c:v>
                </c:pt>
                <c:pt idx="2">
                  <c:v>c) Mensual</c:v>
                </c:pt>
              </c:strCache>
            </c:strRef>
          </c:cat>
          <c:val>
            <c:numRef>
              <c:f>ENCUESTA1!$N$21:$N$23</c:f>
              <c:numCache>
                <c:formatCode>General</c:formatCode>
                <c:ptCount val="3"/>
                <c:pt idx="0">
                  <c:v>45</c:v>
                </c:pt>
                <c:pt idx="1">
                  <c:v>43</c:v>
                </c:pt>
                <c:pt idx="2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600"/>
              <a:t>5.-¿Cuanto consume generalmente cada persona</a:t>
            </a:r>
            <a:r>
              <a:rPr lang="es-PE" sz="1600" baseline="0"/>
              <a:t> en cada visita a estos lugares</a:t>
            </a:r>
            <a:r>
              <a:rPr lang="es-PE" sz="1600"/>
              <a:t>?</a:t>
            </a:r>
          </a:p>
        </c:rich>
      </c:tx>
      <c:layout>
        <c:manualLayout>
          <c:xMode val="edge"/>
          <c:yMode val="edge"/>
          <c:x val="0.177164391272783"/>
          <c:y val="4.20202300938465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ENCUESTA1!$M$32:$M$35</c:f>
              <c:strCache>
                <c:ptCount val="4"/>
                <c:pt idx="0">
                  <c:v>a) 20 a 50 Soles</c:v>
                </c:pt>
                <c:pt idx="1">
                  <c:v>b) 50 a 80 Soles</c:v>
                </c:pt>
                <c:pt idx="2">
                  <c:v>c) 80 a 100 Soles</c:v>
                </c:pt>
                <c:pt idx="3">
                  <c:v>d) 100 a mas</c:v>
                </c:pt>
              </c:strCache>
            </c:strRef>
          </c:cat>
          <c:val>
            <c:numRef>
              <c:f>ENCUESTA1!$N$32:$N$35</c:f>
              <c:numCache>
                <c:formatCode>General</c:formatCode>
                <c:ptCount val="4"/>
                <c:pt idx="0">
                  <c:v>5</c:v>
                </c:pt>
                <c:pt idx="1">
                  <c:v>48</c:v>
                </c:pt>
                <c:pt idx="2">
                  <c:v>35</c:v>
                </c:pt>
                <c:pt idx="3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600"/>
              <a:t>6.-¿A que discotecas o bares</a:t>
            </a:r>
            <a:r>
              <a:rPr lang="es-PE" sz="1600" baseline="0"/>
              <a:t> frecuenta acudir</a:t>
            </a:r>
            <a:r>
              <a:rPr lang="es-PE" sz="1600"/>
              <a:t>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ENCUESTA1!$R$7:$R$11</c:f>
              <c:strCache>
                <c:ptCount val="5"/>
                <c:pt idx="0">
                  <c:v>a) Soho</c:v>
                </c:pt>
                <c:pt idx="1">
                  <c:v>b) Noa Noa</c:v>
                </c:pt>
                <c:pt idx="2">
                  <c:v>c) Eurobar</c:v>
                </c:pt>
                <c:pt idx="3">
                  <c:v>d) Rustica</c:v>
                </c:pt>
                <c:pt idx="4">
                  <c:v>e) Otros</c:v>
                </c:pt>
              </c:strCache>
            </c:strRef>
          </c:cat>
          <c:val>
            <c:numRef>
              <c:f>ENCUESTA1!$S$7:$S$11</c:f>
              <c:numCache>
                <c:formatCode>General</c:formatCode>
                <c:ptCount val="5"/>
                <c:pt idx="0">
                  <c:v>32</c:v>
                </c:pt>
                <c:pt idx="1">
                  <c:v>46</c:v>
                </c:pt>
                <c:pt idx="2">
                  <c:v>6</c:v>
                </c:pt>
                <c:pt idx="3">
                  <c:v>16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600"/>
              <a:t>8.-¿Q</a:t>
            </a:r>
            <a:r>
              <a:rPr lang="es-PE" sz="1600" baseline="0"/>
              <a:t>ue tipo de bebidas habitualmente consume cuando va a un  centro de diversion - discoteca?</a:t>
            </a:r>
            <a:endParaRPr lang="es-PE" sz="1600"/>
          </a:p>
        </c:rich>
      </c:tx>
      <c:layout>
        <c:manualLayout>
          <c:xMode val="edge"/>
          <c:yMode val="edge"/>
          <c:x val="9.9532502236120979E-2"/>
          <c:y val="9.626196594979295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ENCUESTA1!$R$21:$R$27</c:f>
              <c:strCache>
                <c:ptCount val="7"/>
                <c:pt idx="0">
                  <c:v>a) Cerveza</c:v>
                </c:pt>
                <c:pt idx="1">
                  <c:v>b) Pisco</c:v>
                </c:pt>
                <c:pt idx="2">
                  <c:v>c)Vino</c:v>
                </c:pt>
                <c:pt idx="3">
                  <c:v>d) Cocteles</c:v>
                </c:pt>
                <c:pt idx="4">
                  <c:v>e) Tequila </c:v>
                </c:pt>
                <c:pt idx="5">
                  <c:v>f) Ron</c:v>
                </c:pt>
                <c:pt idx="6">
                  <c:v>g) Whisky</c:v>
                </c:pt>
              </c:strCache>
            </c:strRef>
          </c:cat>
          <c:val>
            <c:numRef>
              <c:f>ENCUESTA1!$S$21:$S$27</c:f>
              <c:numCache>
                <c:formatCode>General</c:formatCode>
                <c:ptCount val="7"/>
                <c:pt idx="0">
                  <c:v>32</c:v>
                </c:pt>
                <c:pt idx="1">
                  <c:v>20</c:v>
                </c:pt>
                <c:pt idx="2">
                  <c:v>15</c:v>
                </c:pt>
                <c:pt idx="3">
                  <c:v>18</c:v>
                </c:pt>
                <c:pt idx="4">
                  <c:v>4</c:v>
                </c:pt>
                <c:pt idx="5">
                  <c:v>8</c:v>
                </c:pt>
                <c:pt idx="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600"/>
              <a:t>9.-¿Q</a:t>
            </a:r>
            <a:r>
              <a:rPr lang="es-PE" sz="1600" baseline="0"/>
              <a:t>ue considera mas importante en un centro de diversion - discoteca?</a:t>
            </a:r>
            <a:endParaRPr lang="es-PE" sz="1600"/>
          </a:p>
        </c:rich>
      </c:tx>
      <c:layout>
        <c:manualLayout>
          <c:xMode val="edge"/>
          <c:yMode val="edge"/>
          <c:x val="9.9532502236120979E-2"/>
          <c:y val="9.626196594979295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ENCUESTA1!$R$30:$R$33</c:f>
              <c:strCache>
                <c:ptCount val="4"/>
                <c:pt idx="0">
                  <c:v>a) Atención de calidad </c:v>
                </c:pt>
                <c:pt idx="1">
                  <c:v>b) Ambiente confortable</c:v>
                </c:pt>
                <c:pt idx="2">
                  <c:v>c) Nivel Social</c:v>
                </c:pt>
                <c:pt idx="3">
                  <c:v>d) Precio accesible</c:v>
                </c:pt>
              </c:strCache>
            </c:strRef>
          </c:cat>
          <c:val>
            <c:numRef>
              <c:f>ENCUESTA1!$S$30:$S$33</c:f>
              <c:numCache>
                <c:formatCode>General</c:formatCode>
                <c:ptCount val="4"/>
                <c:pt idx="0">
                  <c:v>52</c:v>
                </c:pt>
                <c:pt idx="1">
                  <c:v>28</c:v>
                </c:pt>
                <c:pt idx="2">
                  <c:v>5</c:v>
                </c:pt>
                <c:pt idx="3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600"/>
              <a:t>10.-¿Le gustaria visitar un nuevo centro de diversion con atencion personalizada y tragos exoticos</a:t>
            </a:r>
            <a:r>
              <a:rPr lang="es-PE" sz="1600" baseline="0"/>
              <a:t>?</a:t>
            </a:r>
            <a:endParaRPr lang="es-PE" sz="1600"/>
          </a:p>
        </c:rich>
      </c:tx>
      <c:layout>
        <c:manualLayout>
          <c:xMode val="edge"/>
          <c:yMode val="edge"/>
          <c:x val="9.9532502236120979E-2"/>
          <c:y val="9.626196594979295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ENCUESTA1!$R$36:$R$37</c:f>
              <c:strCache>
                <c:ptCount val="2"/>
                <c:pt idx="0">
                  <c:v>a) Si</c:v>
                </c:pt>
                <c:pt idx="1">
                  <c:v>b) No</c:v>
                </c:pt>
              </c:strCache>
            </c:strRef>
          </c:cat>
          <c:val>
            <c:numRef>
              <c:f>ENCUESTA1!$S$36:$S$37</c:f>
              <c:numCache>
                <c:formatCode>General</c:formatCode>
                <c:ptCount val="2"/>
                <c:pt idx="0">
                  <c:v>98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600"/>
              <a:t>7-¿Cuando</a:t>
            </a:r>
            <a:r>
              <a:rPr lang="es-PE" sz="1600" baseline="0"/>
              <a:t> visita un centro de diversion con cuantas personas va acompañado/a</a:t>
            </a:r>
            <a:r>
              <a:rPr lang="es-PE" sz="1600"/>
              <a:t>?</a:t>
            </a:r>
          </a:p>
        </c:rich>
      </c:tx>
      <c:layout>
        <c:manualLayout>
          <c:xMode val="edge"/>
          <c:yMode val="edge"/>
          <c:x val="0.13006332474072727"/>
          <c:y val="4.96378052468528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ENCUESTA1!$R$14:$R$18</c:f>
              <c:strCache>
                <c:ptCount val="5"/>
                <c:pt idx="0">
                  <c:v>a)   1  Persona</c:v>
                </c:pt>
                <c:pt idx="1">
                  <c:v>b)   2  Personas</c:v>
                </c:pt>
                <c:pt idx="2">
                  <c:v>c)   3  Personas</c:v>
                </c:pt>
                <c:pt idx="3">
                  <c:v>d)   4  Personas</c:v>
                </c:pt>
                <c:pt idx="4">
                  <c:v>e)   5  Personas a mas </c:v>
                </c:pt>
              </c:strCache>
            </c:strRef>
          </c:cat>
          <c:val>
            <c:numRef>
              <c:f>ENCUESTA1!$S$14:$S$18</c:f>
              <c:numCache>
                <c:formatCode>General</c:formatCode>
                <c:ptCount val="5"/>
                <c:pt idx="0">
                  <c:v>2</c:v>
                </c:pt>
                <c:pt idx="1">
                  <c:v>8</c:v>
                </c:pt>
                <c:pt idx="2">
                  <c:v>10</c:v>
                </c:pt>
                <c:pt idx="3">
                  <c:v>32</c:v>
                </c:pt>
                <c:pt idx="4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'PRINCIPALES RATIOS'!$B$29</c:f>
              <c:strCache>
                <c:ptCount val="1"/>
                <c:pt idx="0">
                  <c:v>Prueba Acida ( (AC-EXIS)/PC)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'PRINCIPALES RATIOS'!$C$27:$J$27</c:f>
              <c:strCache>
                <c:ptCount val="8"/>
                <c:pt idx="0">
                  <c:v>1ER TRIMESTRE</c:v>
                </c:pt>
                <c:pt idx="1">
                  <c:v>2DO TRIMESTRE</c:v>
                </c:pt>
                <c:pt idx="2">
                  <c:v>3ER TRIMESTRE</c:v>
                </c:pt>
                <c:pt idx="3">
                  <c:v>4TO TRIMESTRE</c:v>
                </c:pt>
                <c:pt idx="4">
                  <c:v>5TO TRIMESTRE</c:v>
                </c:pt>
                <c:pt idx="5">
                  <c:v>6TO TRIMESTRE</c:v>
                </c:pt>
                <c:pt idx="6">
                  <c:v>7MO TRIMESTRE</c:v>
                </c:pt>
                <c:pt idx="7">
                  <c:v>8VO TRIMESTRE</c:v>
                </c:pt>
              </c:strCache>
            </c:strRef>
          </c:cat>
          <c:val>
            <c:numRef>
              <c:f>'PRINCIPALES RATIOS'!$C$29:$J$29</c:f>
              <c:numCache>
                <c:formatCode>_ [$S/.-280A]\ * #,##0.00_ ;_ [$S/.-280A]\ * \-#,##0.00_ ;_ [$S/.-280A]\ * "-"??_ ;_ @_ </c:formatCode>
                <c:ptCount val="8"/>
                <c:pt idx="0">
                  <c:v>1.5067095165367077</c:v>
                </c:pt>
                <c:pt idx="1">
                  <c:v>2.0955131194942775</c:v>
                </c:pt>
                <c:pt idx="2">
                  <c:v>2.9770996773158198</c:v>
                </c:pt>
                <c:pt idx="3">
                  <c:v>6.8270645791536824</c:v>
                </c:pt>
                <c:pt idx="4">
                  <c:v>7.5026299504950504</c:v>
                </c:pt>
                <c:pt idx="5">
                  <c:v>8.082734202540669</c:v>
                </c:pt>
                <c:pt idx="6">
                  <c:v>7.9182564956997323</c:v>
                </c:pt>
                <c:pt idx="7">
                  <c:v>7.9251977574687045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2011808"/>
        <c:axId val="312012200"/>
      </c:lineChart>
      <c:catAx>
        <c:axId val="31201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12012200"/>
        <c:crosses val="autoZero"/>
        <c:auto val="1"/>
        <c:lblAlgn val="ctr"/>
        <c:lblOffset val="100"/>
        <c:noMultiLvlLbl val="0"/>
      </c:catAx>
      <c:valAx>
        <c:axId val="312012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[$S/.-280A]\ * #,##0.00_ ;_ [$S/.-280A]\ * \-#,##0.00_ ;_ [$S/.-280A]\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12011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'PRINCIPALES RATIOS'!$B$34</c:f>
              <c:strCache>
                <c:ptCount val="1"/>
                <c:pt idx="0">
                  <c:v>Rotacion de Inmueble Maquinaria y Equipo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'PRINCIPALES RATIOS'!$C$33:$J$33</c:f>
              <c:strCache>
                <c:ptCount val="8"/>
                <c:pt idx="0">
                  <c:v>1ER TRIMESTRE</c:v>
                </c:pt>
                <c:pt idx="1">
                  <c:v>2DO TRIMESTRE</c:v>
                </c:pt>
                <c:pt idx="2">
                  <c:v>3ER TRIMESTRE</c:v>
                </c:pt>
                <c:pt idx="3">
                  <c:v>4TO TRIMESTRE</c:v>
                </c:pt>
                <c:pt idx="4">
                  <c:v>5TO TRIMESTRE</c:v>
                </c:pt>
                <c:pt idx="5">
                  <c:v>6TO TRIMESTRE</c:v>
                </c:pt>
                <c:pt idx="6">
                  <c:v>7MO TRIMESTRE</c:v>
                </c:pt>
                <c:pt idx="7">
                  <c:v>8VO TRIMESTRE</c:v>
                </c:pt>
              </c:strCache>
            </c:strRef>
          </c:cat>
          <c:val>
            <c:numRef>
              <c:f>'PRINCIPALES RATIOS'!$C$34:$J$34</c:f>
              <c:numCache>
                <c:formatCode>0.00</c:formatCode>
                <c:ptCount val="8"/>
                <c:pt idx="0">
                  <c:v>10.772310108252134</c:v>
                </c:pt>
                <c:pt idx="1">
                  <c:v>10.833258247628365</c:v>
                </c:pt>
                <c:pt idx="2">
                  <c:v>10.8774730013258</c:v>
                </c:pt>
                <c:pt idx="3">
                  <c:v>10.904761291817374</c:v>
                </c:pt>
                <c:pt idx="4">
                  <c:v>10.81646050277388</c:v>
                </c:pt>
                <c:pt idx="5">
                  <c:v>10.894270746180283</c:v>
                </c:pt>
                <c:pt idx="6">
                  <c:v>10.892983562666529</c:v>
                </c:pt>
                <c:pt idx="7">
                  <c:v>10.894270746180283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2012984"/>
        <c:axId val="312013376"/>
      </c:lineChart>
      <c:catAx>
        <c:axId val="312012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12013376"/>
        <c:crosses val="autoZero"/>
        <c:auto val="1"/>
        <c:lblAlgn val="ctr"/>
        <c:lblOffset val="100"/>
        <c:noMultiLvlLbl val="0"/>
      </c:catAx>
      <c:valAx>
        <c:axId val="31201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12012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'PRINCIPALES RATIOS'!$B$41</c:f>
              <c:strCache>
                <c:ptCount val="1"/>
                <c:pt idx="0">
                  <c:v>Estructura de capital(Pasivo total/Patrimonio)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'PRINCIPALES RATIOS'!$C$40:$J$40</c:f>
              <c:strCache>
                <c:ptCount val="8"/>
                <c:pt idx="0">
                  <c:v>1ER TRIMESTRE</c:v>
                </c:pt>
                <c:pt idx="1">
                  <c:v>2DO TRIMESTRE</c:v>
                </c:pt>
                <c:pt idx="2">
                  <c:v>3ER TRIMESTRE</c:v>
                </c:pt>
                <c:pt idx="3">
                  <c:v>4TO TRIMESTRE</c:v>
                </c:pt>
                <c:pt idx="4">
                  <c:v>5TO TRIMESTRE</c:v>
                </c:pt>
                <c:pt idx="5">
                  <c:v>6TO TRIMESTRE</c:v>
                </c:pt>
                <c:pt idx="6">
                  <c:v>7MO TRIMESTRE</c:v>
                </c:pt>
                <c:pt idx="7">
                  <c:v>8VO TRIMESTRE</c:v>
                </c:pt>
              </c:strCache>
            </c:strRef>
          </c:cat>
          <c:val>
            <c:numRef>
              <c:f>'PRINCIPALES RATIOS'!$C$41:$J$41</c:f>
              <c:numCache>
                <c:formatCode>0%</c:formatCode>
                <c:ptCount val="8"/>
                <c:pt idx="0">
                  <c:v>0.17395846299272485</c:v>
                </c:pt>
                <c:pt idx="1">
                  <c:v>0.10625639352855511</c:v>
                </c:pt>
                <c:pt idx="2">
                  <c:v>6.2022863769111904E-2</c:v>
                </c:pt>
                <c:pt idx="3">
                  <c:v>2.2675255262122135E-2</c:v>
                </c:pt>
                <c:pt idx="4">
                  <c:v>1.9621852645954632E-2</c:v>
                </c:pt>
                <c:pt idx="5">
                  <c:v>1.7336333451453596E-2</c:v>
                </c:pt>
                <c:pt idx="6">
                  <c:v>1.5478103984616727E-2</c:v>
                </c:pt>
                <c:pt idx="7">
                  <c:v>1.3981133169468174E-2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2014160"/>
        <c:axId val="312014552"/>
      </c:lineChart>
      <c:catAx>
        <c:axId val="31201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12014552"/>
        <c:crosses val="autoZero"/>
        <c:auto val="1"/>
        <c:lblAlgn val="ctr"/>
        <c:lblOffset val="100"/>
        <c:noMultiLvlLbl val="0"/>
      </c:catAx>
      <c:valAx>
        <c:axId val="312014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12014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'PRINCIPALES RATIOS'!$B$42</c:f>
              <c:strCache>
                <c:ptCount val="1"/>
                <c:pt idx="0">
                  <c:v>Endeudamiento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'PRINCIPALES RATIOS'!$C$40:$J$40</c:f>
              <c:strCache>
                <c:ptCount val="8"/>
                <c:pt idx="0">
                  <c:v>1ER TRIMESTRE</c:v>
                </c:pt>
                <c:pt idx="1">
                  <c:v>2DO TRIMESTRE</c:v>
                </c:pt>
                <c:pt idx="2">
                  <c:v>3ER TRIMESTRE</c:v>
                </c:pt>
                <c:pt idx="3">
                  <c:v>4TO TRIMESTRE</c:v>
                </c:pt>
                <c:pt idx="4">
                  <c:v>5TO TRIMESTRE</c:v>
                </c:pt>
                <c:pt idx="5">
                  <c:v>6TO TRIMESTRE</c:v>
                </c:pt>
                <c:pt idx="6">
                  <c:v>7MO TRIMESTRE</c:v>
                </c:pt>
                <c:pt idx="7">
                  <c:v>8VO TRIMESTRE</c:v>
                </c:pt>
              </c:strCache>
            </c:strRef>
          </c:cat>
          <c:val>
            <c:numRef>
              <c:f>'PRINCIPALES RATIOS'!$C$42:$J$42</c:f>
              <c:numCache>
                <c:formatCode>0%</c:formatCode>
                <c:ptCount val="8"/>
                <c:pt idx="0">
                  <c:v>7.3112351152421928E-2</c:v>
                </c:pt>
                <c:pt idx="1">
                  <c:v>5.6860871461205963E-2</c:v>
                </c:pt>
                <c:pt idx="2">
                  <c:v>4.0615015323618206E-2</c:v>
                </c:pt>
                <c:pt idx="3">
                  <c:v>1.7715965584103318E-2</c:v>
                </c:pt>
                <c:pt idx="4">
                  <c:v>1.7383173703481518E-2</c:v>
                </c:pt>
                <c:pt idx="5">
                  <c:v>1.7316104261007149E-2</c:v>
                </c:pt>
                <c:pt idx="6">
                  <c:v>1.7363793669466256E-2</c:v>
                </c:pt>
                <c:pt idx="7">
                  <c:v>1.7363470375841131E-2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2016904"/>
        <c:axId val="312017296"/>
      </c:lineChart>
      <c:catAx>
        <c:axId val="312016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12017296"/>
        <c:crosses val="autoZero"/>
        <c:auto val="1"/>
        <c:lblAlgn val="ctr"/>
        <c:lblOffset val="100"/>
        <c:noMultiLvlLbl val="0"/>
      </c:catAx>
      <c:valAx>
        <c:axId val="31201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12016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'PRINCIPALES RATIOS'!$B$45</c:f>
              <c:strCache>
                <c:ptCount val="1"/>
                <c:pt idx="0">
                  <c:v>Rentabilidad sobre la inversion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'PRINCIPALES RATIOS'!$C$44:$J$44</c:f>
              <c:strCache>
                <c:ptCount val="8"/>
                <c:pt idx="0">
                  <c:v>1ER TRIMESTRE</c:v>
                </c:pt>
                <c:pt idx="1">
                  <c:v>2DO TRIMESTRE</c:v>
                </c:pt>
                <c:pt idx="2">
                  <c:v>3ER TRIMESTRE</c:v>
                </c:pt>
                <c:pt idx="3">
                  <c:v>4TO TRIMESTRE</c:v>
                </c:pt>
                <c:pt idx="4">
                  <c:v>5TO TRIMESTRE</c:v>
                </c:pt>
                <c:pt idx="5">
                  <c:v>6TO TRIMESTRE</c:v>
                </c:pt>
                <c:pt idx="6">
                  <c:v>7MO TRIMESTRE</c:v>
                </c:pt>
                <c:pt idx="7">
                  <c:v>8VO TRIMESTRE</c:v>
                </c:pt>
              </c:strCache>
            </c:strRef>
          </c:cat>
          <c:val>
            <c:numRef>
              <c:f>'PRINCIPALES RATIOS'!$C$45:$J$45</c:f>
              <c:numCache>
                <c:formatCode>0%</c:formatCode>
                <c:ptCount val="8"/>
                <c:pt idx="0">
                  <c:v>0.11019649162902291</c:v>
                </c:pt>
                <c:pt idx="1">
                  <c:v>0.11909052125635877</c:v>
                </c:pt>
                <c:pt idx="2">
                  <c:v>0.12078105817891342</c:v>
                </c:pt>
                <c:pt idx="3">
                  <c:v>0.12647592293963109</c:v>
                </c:pt>
                <c:pt idx="4">
                  <c:v>0.11303634595891687</c:v>
                </c:pt>
                <c:pt idx="5">
                  <c:v>0.12264536390419555</c:v>
                </c:pt>
                <c:pt idx="6">
                  <c:v>0.12012717834377479</c:v>
                </c:pt>
                <c:pt idx="7">
                  <c:v>0.12024546610864928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2018472"/>
        <c:axId val="312018864"/>
      </c:lineChart>
      <c:catAx>
        <c:axId val="312018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12018864"/>
        <c:crosses val="autoZero"/>
        <c:auto val="1"/>
        <c:lblAlgn val="ctr"/>
        <c:lblOffset val="100"/>
        <c:noMultiLvlLbl val="0"/>
      </c:catAx>
      <c:valAx>
        <c:axId val="31201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12018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'PRINCIPALES RATIOS'!$B$46</c:f>
              <c:strCache>
                <c:ptCount val="1"/>
                <c:pt idx="0">
                  <c:v>Rentabilidad sobre el patrimonio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'PRINCIPALES RATIOS'!$C$44:$J$44</c:f>
              <c:strCache>
                <c:ptCount val="8"/>
                <c:pt idx="0">
                  <c:v>1ER TRIMESTRE</c:v>
                </c:pt>
                <c:pt idx="1">
                  <c:v>2DO TRIMESTRE</c:v>
                </c:pt>
                <c:pt idx="2">
                  <c:v>3ER TRIMESTRE</c:v>
                </c:pt>
                <c:pt idx="3">
                  <c:v>4TO TRIMESTRE</c:v>
                </c:pt>
                <c:pt idx="4">
                  <c:v>5TO TRIMESTRE</c:v>
                </c:pt>
                <c:pt idx="5">
                  <c:v>6TO TRIMESTRE</c:v>
                </c:pt>
                <c:pt idx="6">
                  <c:v>7MO TRIMESTRE</c:v>
                </c:pt>
                <c:pt idx="7">
                  <c:v>8VO TRIMESTRE</c:v>
                </c:pt>
              </c:strCache>
            </c:strRef>
          </c:cat>
          <c:val>
            <c:numRef>
              <c:f>'PRINCIPALES RATIOS'!$C$46:$J$46</c:f>
              <c:numCache>
                <c:formatCode>0%</c:formatCode>
                <c:ptCount val="8"/>
                <c:pt idx="0">
                  <c:v>0.26219389759483175</c:v>
                </c:pt>
                <c:pt idx="1">
                  <c:v>0.22254546873714118</c:v>
                </c:pt>
                <c:pt idx="2">
                  <c:v>0.18444378409390122</c:v>
                </c:pt>
                <c:pt idx="3">
                  <c:v>0.16188075233912119</c:v>
                </c:pt>
                <c:pt idx="4">
                  <c:v>0.12759364669978515</c:v>
                </c:pt>
                <c:pt idx="5">
                  <c:v>0.12278864188326029</c:v>
                </c:pt>
                <c:pt idx="6">
                  <c:v>0.10708149343269056</c:v>
                </c:pt>
                <c:pt idx="7">
                  <c:v>9.6822112072072308E-2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2018080"/>
        <c:axId val="312016512"/>
      </c:lineChart>
      <c:catAx>
        <c:axId val="31201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12016512"/>
        <c:crosses val="autoZero"/>
        <c:auto val="1"/>
        <c:lblAlgn val="ctr"/>
        <c:lblOffset val="100"/>
        <c:noMultiLvlLbl val="0"/>
      </c:catAx>
      <c:valAx>
        <c:axId val="312016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12018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'PRINCIPALES RATIOS'!$B$47</c:f>
              <c:strCache>
                <c:ptCount val="1"/>
                <c:pt idx="0">
                  <c:v>Rentabilidad sobre ventas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'PRINCIPALES RATIOS'!$C$44:$J$44</c:f>
              <c:strCache>
                <c:ptCount val="8"/>
                <c:pt idx="0">
                  <c:v>1ER TRIMESTRE</c:v>
                </c:pt>
                <c:pt idx="1">
                  <c:v>2DO TRIMESTRE</c:v>
                </c:pt>
                <c:pt idx="2">
                  <c:v>3ER TRIMESTRE</c:v>
                </c:pt>
                <c:pt idx="3">
                  <c:v>4TO TRIMESTRE</c:v>
                </c:pt>
                <c:pt idx="4">
                  <c:v>5TO TRIMESTRE</c:v>
                </c:pt>
                <c:pt idx="5">
                  <c:v>6TO TRIMESTRE</c:v>
                </c:pt>
                <c:pt idx="6">
                  <c:v>7MO TRIMESTRE</c:v>
                </c:pt>
                <c:pt idx="7">
                  <c:v>8VO TRIMESTRE</c:v>
                </c:pt>
              </c:strCache>
            </c:strRef>
          </c:cat>
          <c:val>
            <c:numRef>
              <c:f>'PRINCIPALES RATIOS'!$C$47:$J$47</c:f>
              <c:numCache>
                <c:formatCode>0%</c:formatCode>
                <c:ptCount val="8"/>
                <c:pt idx="0">
                  <c:v>9.330473538935824E-2</c:v>
                </c:pt>
                <c:pt idx="1">
                  <c:v>0.1012918758354374</c:v>
                </c:pt>
                <c:pt idx="2">
                  <c:v>0.1025172768797482</c:v>
                </c:pt>
                <c:pt idx="3">
                  <c:v>0.10708639250218371</c:v>
                </c:pt>
                <c:pt idx="4">
                  <c:v>9.7539449257425762E-2</c:v>
                </c:pt>
                <c:pt idx="5">
                  <c:v>0.10624101303811004</c:v>
                </c:pt>
                <c:pt idx="6">
                  <c:v>0.10377384743549598</c:v>
                </c:pt>
                <c:pt idx="7">
                  <c:v>0.10387796636203057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2015728"/>
        <c:axId val="312015336"/>
      </c:lineChart>
      <c:catAx>
        <c:axId val="31201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12015336"/>
        <c:crosses val="autoZero"/>
        <c:auto val="1"/>
        <c:lblAlgn val="ctr"/>
        <c:lblOffset val="100"/>
        <c:noMultiLvlLbl val="0"/>
      </c:catAx>
      <c:valAx>
        <c:axId val="312015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12015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600"/>
              <a:t>1.-¿En que rango de edad se encuentra?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ENCUESTA1!$M$7:$M$14</c:f>
              <c:strCache>
                <c:ptCount val="8"/>
                <c:pt idx="0">
                  <c:v>a) 15 a19</c:v>
                </c:pt>
                <c:pt idx="1">
                  <c:v>b) 20 a 24</c:v>
                </c:pt>
                <c:pt idx="2">
                  <c:v>c) 25 a 29</c:v>
                </c:pt>
                <c:pt idx="3">
                  <c:v>e) 30 a 34</c:v>
                </c:pt>
                <c:pt idx="4">
                  <c:v>f) 35 a 39</c:v>
                </c:pt>
                <c:pt idx="5">
                  <c:v>g) 40 a 44</c:v>
                </c:pt>
                <c:pt idx="6">
                  <c:v>h) 45 a 49</c:v>
                </c:pt>
                <c:pt idx="7">
                  <c:v>i ) 50 a 54</c:v>
                </c:pt>
              </c:strCache>
            </c:strRef>
          </c:cat>
          <c:val>
            <c:numRef>
              <c:f>ENCUESTA1!$N$7:$N$14</c:f>
              <c:numCache>
                <c:formatCode>General</c:formatCode>
                <c:ptCount val="8"/>
                <c:pt idx="0">
                  <c:v>27</c:v>
                </c:pt>
                <c:pt idx="1">
                  <c:v>28</c:v>
                </c:pt>
                <c:pt idx="2">
                  <c:v>25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2">
  <dgm:title val=""/>
  <dgm:desc val=""/>
  <dgm:catLst>
    <dgm:cat type="colorful" pri="10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2"/>
      <a:schemeClr val="accent3"/>
    </dgm:fillClrLst>
    <dgm:linClrLst>
      <a:schemeClr val="accent2"/>
      <a:schemeClr val="accent3"/>
    </dgm:linClrLst>
    <dgm:effectClrLst/>
    <dgm:txLinClrLst/>
    <dgm:txFillClrLst/>
    <dgm:txEffectClrLst/>
  </dgm:styleLbl>
  <dgm:styleLbl name="ln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2">
        <a:alpha val="50000"/>
      </a:schemeClr>
      <a:schemeClr val="accent3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2">
        <a:tint val="50000"/>
      </a:schemeClr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2"/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2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2">
        <a:tint val="5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F4306BD7-2FC1-4382-AD6C-1E9AD5F84A18}" type="doc">
      <dgm:prSet loTypeId="urn:microsoft.com/office/officeart/2005/8/layout/orgChart1" loCatId="hierarchy" qsTypeId="urn:microsoft.com/office/officeart/2005/8/quickstyle/3d2" qsCatId="3D" csTypeId="urn:microsoft.com/office/officeart/2005/8/colors/colorful2" csCatId="colorful" phldr="1"/>
      <dgm:spPr/>
      <dgm:t>
        <a:bodyPr/>
        <a:lstStyle/>
        <a:p>
          <a:endParaRPr lang="es-ES"/>
        </a:p>
      </dgm:t>
    </dgm:pt>
    <dgm:pt modelId="{A7554D46-4B44-4482-A05D-FED3CDABD6A4}">
      <dgm:prSet phldrT="[Texto]" custT="1"/>
      <dgm:spPr>
        <a:solidFill>
          <a:schemeClr val="accent2"/>
        </a:solidFill>
      </dgm:spPr>
      <dgm:t>
        <a:bodyPr/>
        <a:lstStyle/>
        <a:p>
          <a:r>
            <a:rPr lang="es-E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GERENTE GENERAL</a:t>
          </a:r>
        </a:p>
      </dgm:t>
    </dgm:pt>
    <dgm:pt modelId="{F0BBB0B2-9E4B-48FD-979B-7CB983FDB9A9}" type="parTrans" cxnId="{00185730-D2DE-4F69-8088-5E67083A3082}">
      <dgm:prSet/>
      <dgm:spPr/>
      <dgm:t>
        <a:bodyPr/>
        <a:lstStyle/>
        <a:p>
          <a:endParaRPr lang="es-ES" sz="1200"/>
        </a:p>
      </dgm:t>
    </dgm:pt>
    <dgm:pt modelId="{4B109A2E-61BD-4209-83C7-2652046AB152}" type="sibTrans" cxnId="{00185730-D2DE-4F69-8088-5E67083A3082}">
      <dgm:prSet/>
      <dgm:spPr/>
      <dgm:t>
        <a:bodyPr/>
        <a:lstStyle/>
        <a:p>
          <a:endParaRPr lang="es-ES" sz="1200"/>
        </a:p>
      </dgm:t>
    </dgm:pt>
    <dgm:pt modelId="{DC0D7A1B-9B86-4B54-B679-D23905EEF790}">
      <dgm:prSet phldrT="[Texto]" custT="1"/>
      <dgm:spPr>
        <a:solidFill>
          <a:srgbClr val="FF5050"/>
        </a:solidFill>
      </dgm:spPr>
      <dgm:t>
        <a:bodyPr/>
        <a:lstStyle/>
        <a:p>
          <a:r>
            <a:rPr lang="es-E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CONTADOR-CAJERO </a:t>
          </a:r>
        </a:p>
      </dgm:t>
    </dgm:pt>
    <dgm:pt modelId="{51AA55C2-1151-47AB-B6C7-C7BF14475AAC}" type="parTrans" cxnId="{CC174E47-CEFC-4174-BA8B-707C0C9C3E07}">
      <dgm:prSet/>
      <dgm:spPr/>
      <dgm:t>
        <a:bodyPr/>
        <a:lstStyle/>
        <a:p>
          <a:endParaRPr lang="es-ES" sz="1200"/>
        </a:p>
      </dgm:t>
    </dgm:pt>
    <dgm:pt modelId="{8DEAA72F-620F-4AB3-951E-F5C9AC3213BE}" type="sibTrans" cxnId="{CC174E47-CEFC-4174-BA8B-707C0C9C3E07}">
      <dgm:prSet/>
      <dgm:spPr/>
      <dgm:t>
        <a:bodyPr/>
        <a:lstStyle/>
        <a:p>
          <a:endParaRPr lang="es-ES" sz="1200"/>
        </a:p>
      </dgm:t>
    </dgm:pt>
    <dgm:pt modelId="{27955EEF-FF0D-4923-A34E-9244E6A9BA16}">
      <dgm:prSet phldrT="[Texto]" custT="1"/>
      <dgm:spPr>
        <a:solidFill>
          <a:srgbClr val="FF5050"/>
        </a:solidFill>
      </dgm:spPr>
      <dgm:t>
        <a:bodyPr/>
        <a:lstStyle/>
        <a:p>
          <a:r>
            <a:rPr lang="es-E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BARMAN</a:t>
          </a:r>
        </a:p>
      </dgm:t>
    </dgm:pt>
    <dgm:pt modelId="{F64A2DC9-B880-4447-84AF-C712E8AD62FF}" type="parTrans" cxnId="{C635ECB8-5797-426F-A212-26DEA40015EC}">
      <dgm:prSet/>
      <dgm:spPr/>
      <dgm:t>
        <a:bodyPr/>
        <a:lstStyle/>
        <a:p>
          <a:endParaRPr lang="es-ES" sz="1200"/>
        </a:p>
      </dgm:t>
    </dgm:pt>
    <dgm:pt modelId="{8535E1DB-BF44-4B95-94CD-943D55424C61}" type="sibTrans" cxnId="{C635ECB8-5797-426F-A212-26DEA40015EC}">
      <dgm:prSet/>
      <dgm:spPr/>
      <dgm:t>
        <a:bodyPr/>
        <a:lstStyle/>
        <a:p>
          <a:endParaRPr lang="es-ES" sz="1200"/>
        </a:p>
      </dgm:t>
    </dgm:pt>
    <dgm:pt modelId="{5BEDC9EA-FE10-441D-8009-13EC2DE2288A}">
      <dgm:prSet phldrT="[Texto]" custT="1"/>
      <dgm:spPr>
        <a:solidFill>
          <a:srgbClr val="FF5050"/>
        </a:solidFill>
      </dgm:spPr>
      <dgm:t>
        <a:bodyPr/>
        <a:lstStyle/>
        <a:p>
          <a:r>
            <a:rPr lang="es-ES" sz="1200"/>
            <a:t> </a:t>
          </a:r>
          <a:r>
            <a:rPr lang="es-E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SEGURIDAD</a:t>
          </a:r>
          <a:endParaRPr lang="es-ES" sz="1200"/>
        </a:p>
      </dgm:t>
    </dgm:pt>
    <dgm:pt modelId="{18F2845A-D570-48C2-8B05-CFB806DD1600}" type="parTrans" cxnId="{2973F155-3719-47DC-9DEE-3B915C975212}">
      <dgm:prSet/>
      <dgm:spPr/>
      <dgm:t>
        <a:bodyPr/>
        <a:lstStyle/>
        <a:p>
          <a:endParaRPr lang="es-ES" sz="1200"/>
        </a:p>
      </dgm:t>
    </dgm:pt>
    <dgm:pt modelId="{7FF3EE04-39D5-4646-8CFE-08F752CCDD7C}" type="sibTrans" cxnId="{2973F155-3719-47DC-9DEE-3B915C975212}">
      <dgm:prSet/>
      <dgm:spPr/>
      <dgm:t>
        <a:bodyPr/>
        <a:lstStyle/>
        <a:p>
          <a:endParaRPr lang="es-ES" sz="1200"/>
        </a:p>
      </dgm:t>
    </dgm:pt>
    <dgm:pt modelId="{83B0791D-A297-41B1-9D3F-6A5A475216AC}">
      <dgm:prSet phldrT="[Texto]" custT="1"/>
      <dgm:spPr>
        <a:solidFill>
          <a:srgbClr val="FF5050"/>
        </a:solidFill>
      </dgm:spPr>
      <dgm:t>
        <a:bodyPr/>
        <a:lstStyle/>
        <a:p>
          <a:r>
            <a:rPr lang="es-E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DJ</a:t>
          </a:r>
          <a:endParaRPr lang="es-ES" sz="1400"/>
        </a:p>
      </dgm:t>
    </dgm:pt>
    <dgm:pt modelId="{9EAE0980-1613-4646-9F69-3CF780239FA5}" type="parTrans" cxnId="{3ABCB988-BBC8-478F-BC40-D8550B08D9D2}">
      <dgm:prSet/>
      <dgm:spPr/>
      <dgm:t>
        <a:bodyPr/>
        <a:lstStyle/>
        <a:p>
          <a:endParaRPr lang="es-ES"/>
        </a:p>
      </dgm:t>
    </dgm:pt>
    <dgm:pt modelId="{9080C780-0C05-49B1-BEE0-1EE512EF44A1}" type="sibTrans" cxnId="{3ABCB988-BBC8-478F-BC40-D8550B08D9D2}">
      <dgm:prSet/>
      <dgm:spPr/>
      <dgm:t>
        <a:bodyPr/>
        <a:lstStyle/>
        <a:p>
          <a:endParaRPr lang="es-ES"/>
        </a:p>
      </dgm:t>
    </dgm:pt>
    <dgm:pt modelId="{01807BBD-995D-49B7-9AD2-6454D78BB58D}">
      <dgm:prSet phldrT="[Texto]" custT="1"/>
      <dgm:spPr>
        <a:solidFill>
          <a:srgbClr val="FF5050"/>
        </a:solidFill>
      </dgm:spPr>
      <dgm:t>
        <a:bodyPr/>
        <a:lstStyle/>
        <a:p>
          <a:r>
            <a:rPr lang="es-E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MOZO</a:t>
          </a:r>
        </a:p>
      </dgm:t>
    </dgm:pt>
    <dgm:pt modelId="{00E8D20D-BA5D-4CC2-A511-7721FD501B3D}" type="parTrans" cxnId="{F6BC1C6A-12F8-43FB-8BB6-716B7C5BCEAE}">
      <dgm:prSet/>
      <dgm:spPr/>
      <dgm:t>
        <a:bodyPr/>
        <a:lstStyle/>
        <a:p>
          <a:endParaRPr lang="es-PE"/>
        </a:p>
      </dgm:t>
    </dgm:pt>
    <dgm:pt modelId="{1D4025FF-E6AE-48A6-BE70-89127E6C8309}" type="sibTrans" cxnId="{F6BC1C6A-12F8-43FB-8BB6-716B7C5BCEAE}">
      <dgm:prSet/>
      <dgm:spPr/>
      <dgm:t>
        <a:bodyPr/>
        <a:lstStyle/>
        <a:p>
          <a:endParaRPr lang="es-PE"/>
        </a:p>
      </dgm:t>
    </dgm:pt>
    <dgm:pt modelId="{7BCFB2D1-6574-4CA7-A18A-12C90538903B}" type="pres">
      <dgm:prSet presAssocID="{F4306BD7-2FC1-4382-AD6C-1E9AD5F84A18}" presName="hierChild1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es-ES"/>
        </a:p>
      </dgm:t>
    </dgm:pt>
    <dgm:pt modelId="{2AA9F53A-A544-4F7C-B617-78C34D0DAA30}" type="pres">
      <dgm:prSet presAssocID="{A7554D46-4B44-4482-A05D-FED3CDABD6A4}" presName="hierRoot1" presStyleCnt="0">
        <dgm:presLayoutVars>
          <dgm:hierBranch val="init"/>
        </dgm:presLayoutVars>
      </dgm:prSet>
      <dgm:spPr/>
    </dgm:pt>
    <dgm:pt modelId="{930DF093-0E63-4FE0-B5A8-4E74D272F53C}" type="pres">
      <dgm:prSet presAssocID="{A7554D46-4B44-4482-A05D-FED3CDABD6A4}" presName="rootComposite1" presStyleCnt="0"/>
      <dgm:spPr/>
    </dgm:pt>
    <dgm:pt modelId="{8547EB04-2477-43DC-A592-2939AAEC4F3E}" type="pres">
      <dgm:prSet presAssocID="{A7554D46-4B44-4482-A05D-FED3CDABD6A4}" presName="rootText1" presStyleLbl="node0" presStyleIdx="0" presStyleCnt="1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20000FC6-4E35-43AC-813D-DB7F97886DFA}" type="pres">
      <dgm:prSet presAssocID="{A7554D46-4B44-4482-A05D-FED3CDABD6A4}" presName="rootConnector1" presStyleLbl="node1" presStyleIdx="0" presStyleCnt="0"/>
      <dgm:spPr/>
      <dgm:t>
        <a:bodyPr/>
        <a:lstStyle/>
        <a:p>
          <a:endParaRPr lang="es-ES"/>
        </a:p>
      </dgm:t>
    </dgm:pt>
    <dgm:pt modelId="{FE27FA1F-E888-4728-AAA8-0B7770F761F2}" type="pres">
      <dgm:prSet presAssocID="{A7554D46-4B44-4482-A05D-FED3CDABD6A4}" presName="hierChild2" presStyleCnt="0"/>
      <dgm:spPr/>
    </dgm:pt>
    <dgm:pt modelId="{58970035-A12B-4D45-B576-3676DE5D79B9}" type="pres">
      <dgm:prSet presAssocID="{51AA55C2-1151-47AB-B6C7-C7BF14475AAC}" presName="Name37" presStyleLbl="parChTrans1D2" presStyleIdx="0" presStyleCnt="5"/>
      <dgm:spPr/>
      <dgm:t>
        <a:bodyPr/>
        <a:lstStyle/>
        <a:p>
          <a:endParaRPr lang="es-ES"/>
        </a:p>
      </dgm:t>
    </dgm:pt>
    <dgm:pt modelId="{D8A189A6-C0FB-4940-BFD6-96455A0AD7A7}" type="pres">
      <dgm:prSet presAssocID="{DC0D7A1B-9B86-4B54-B679-D23905EEF790}" presName="hierRoot2" presStyleCnt="0">
        <dgm:presLayoutVars>
          <dgm:hierBranch val="init"/>
        </dgm:presLayoutVars>
      </dgm:prSet>
      <dgm:spPr/>
    </dgm:pt>
    <dgm:pt modelId="{B673DD5A-6610-429A-841C-30B11D9D4FC2}" type="pres">
      <dgm:prSet presAssocID="{DC0D7A1B-9B86-4B54-B679-D23905EEF790}" presName="rootComposite" presStyleCnt="0"/>
      <dgm:spPr/>
    </dgm:pt>
    <dgm:pt modelId="{57D8874A-A4C0-40E8-90F6-47A052DBF9CA}" type="pres">
      <dgm:prSet presAssocID="{DC0D7A1B-9B86-4B54-B679-D23905EEF790}" presName="rootText" presStyleLbl="node2" presStyleIdx="0" presStyleCnt="5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DD94A08C-E1F9-42EE-A7CA-6D6B0EA195BB}" type="pres">
      <dgm:prSet presAssocID="{DC0D7A1B-9B86-4B54-B679-D23905EEF790}" presName="rootConnector" presStyleLbl="node2" presStyleIdx="0" presStyleCnt="5"/>
      <dgm:spPr/>
      <dgm:t>
        <a:bodyPr/>
        <a:lstStyle/>
        <a:p>
          <a:endParaRPr lang="es-ES"/>
        </a:p>
      </dgm:t>
    </dgm:pt>
    <dgm:pt modelId="{AFD8D326-7570-4FDB-8921-A47C3ECBDF78}" type="pres">
      <dgm:prSet presAssocID="{DC0D7A1B-9B86-4B54-B679-D23905EEF790}" presName="hierChild4" presStyleCnt="0"/>
      <dgm:spPr/>
    </dgm:pt>
    <dgm:pt modelId="{55EA3F24-DB80-4B4F-8A9E-A7CB4EBAA5D8}" type="pres">
      <dgm:prSet presAssocID="{DC0D7A1B-9B86-4B54-B679-D23905EEF790}" presName="hierChild5" presStyleCnt="0"/>
      <dgm:spPr/>
    </dgm:pt>
    <dgm:pt modelId="{740684CD-6AB4-4885-B2C3-ED40E7D987CA}" type="pres">
      <dgm:prSet presAssocID="{F64A2DC9-B880-4447-84AF-C712E8AD62FF}" presName="Name37" presStyleLbl="parChTrans1D2" presStyleIdx="1" presStyleCnt="5"/>
      <dgm:spPr/>
      <dgm:t>
        <a:bodyPr/>
        <a:lstStyle/>
        <a:p>
          <a:endParaRPr lang="es-ES"/>
        </a:p>
      </dgm:t>
    </dgm:pt>
    <dgm:pt modelId="{BA9B68C2-7B01-40B3-93B6-B045DEA76131}" type="pres">
      <dgm:prSet presAssocID="{27955EEF-FF0D-4923-A34E-9244E6A9BA16}" presName="hierRoot2" presStyleCnt="0">
        <dgm:presLayoutVars>
          <dgm:hierBranch val="init"/>
        </dgm:presLayoutVars>
      </dgm:prSet>
      <dgm:spPr/>
    </dgm:pt>
    <dgm:pt modelId="{7A2820F7-A1FD-4637-9399-BB72A56B4C7D}" type="pres">
      <dgm:prSet presAssocID="{27955EEF-FF0D-4923-A34E-9244E6A9BA16}" presName="rootComposite" presStyleCnt="0"/>
      <dgm:spPr/>
    </dgm:pt>
    <dgm:pt modelId="{DAEF8108-AA22-4734-9AC6-4AA7C7EE78CE}" type="pres">
      <dgm:prSet presAssocID="{27955EEF-FF0D-4923-A34E-9244E6A9BA16}" presName="rootText" presStyleLbl="node2" presStyleIdx="1" presStyleCnt="5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482FD99C-81E6-4224-A130-3A373CD9D974}" type="pres">
      <dgm:prSet presAssocID="{27955EEF-FF0D-4923-A34E-9244E6A9BA16}" presName="rootConnector" presStyleLbl="node2" presStyleIdx="1" presStyleCnt="5"/>
      <dgm:spPr/>
      <dgm:t>
        <a:bodyPr/>
        <a:lstStyle/>
        <a:p>
          <a:endParaRPr lang="es-ES"/>
        </a:p>
      </dgm:t>
    </dgm:pt>
    <dgm:pt modelId="{D4E4A8EF-C327-4672-B557-9E2A632F67DA}" type="pres">
      <dgm:prSet presAssocID="{27955EEF-FF0D-4923-A34E-9244E6A9BA16}" presName="hierChild4" presStyleCnt="0"/>
      <dgm:spPr/>
    </dgm:pt>
    <dgm:pt modelId="{9265A364-D0DC-4BC5-8702-5D20F4E0944F}" type="pres">
      <dgm:prSet presAssocID="{27955EEF-FF0D-4923-A34E-9244E6A9BA16}" presName="hierChild5" presStyleCnt="0"/>
      <dgm:spPr/>
    </dgm:pt>
    <dgm:pt modelId="{64157950-A2C6-46D0-9EEA-4ECBBC259B05}" type="pres">
      <dgm:prSet presAssocID="{00E8D20D-BA5D-4CC2-A511-7721FD501B3D}" presName="Name37" presStyleLbl="parChTrans1D2" presStyleIdx="2" presStyleCnt="5"/>
      <dgm:spPr/>
      <dgm:t>
        <a:bodyPr/>
        <a:lstStyle/>
        <a:p>
          <a:endParaRPr lang="es-PE"/>
        </a:p>
      </dgm:t>
    </dgm:pt>
    <dgm:pt modelId="{9437E918-62B9-41C5-854A-0CD992C965D4}" type="pres">
      <dgm:prSet presAssocID="{01807BBD-995D-49B7-9AD2-6454D78BB58D}" presName="hierRoot2" presStyleCnt="0">
        <dgm:presLayoutVars>
          <dgm:hierBranch val="init"/>
        </dgm:presLayoutVars>
      </dgm:prSet>
      <dgm:spPr/>
    </dgm:pt>
    <dgm:pt modelId="{4BA6B71F-7E38-4F18-AD48-12F167E6374E}" type="pres">
      <dgm:prSet presAssocID="{01807BBD-995D-49B7-9AD2-6454D78BB58D}" presName="rootComposite" presStyleCnt="0"/>
      <dgm:spPr/>
    </dgm:pt>
    <dgm:pt modelId="{D61CFE12-399D-4A77-B881-3F1795B91EF6}" type="pres">
      <dgm:prSet presAssocID="{01807BBD-995D-49B7-9AD2-6454D78BB58D}" presName="rootText" presStyleLbl="node2" presStyleIdx="2" presStyleCnt="5">
        <dgm:presLayoutVars>
          <dgm:chPref val="3"/>
        </dgm:presLayoutVars>
      </dgm:prSet>
      <dgm:spPr/>
      <dgm:t>
        <a:bodyPr/>
        <a:lstStyle/>
        <a:p>
          <a:endParaRPr lang="es-PE"/>
        </a:p>
      </dgm:t>
    </dgm:pt>
    <dgm:pt modelId="{D510497D-2B1A-4C52-91F9-28DDF90A6F59}" type="pres">
      <dgm:prSet presAssocID="{01807BBD-995D-49B7-9AD2-6454D78BB58D}" presName="rootConnector" presStyleLbl="node2" presStyleIdx="2" presStyleCnt="5"/>
      <dgm:spPr/>
      <dgm:t>
        <a:bodyPr/>
        <a:lstStyle/>
        <a:p>
          <a:endParaRPr lang="es-PE"/>
        </a:p>
      </dgm:t>
    </dgm:pt>
    <dgm:pt modelId="{AD24BB6D-C954-494E-8718-E5E53748BD4E}" type="pres">
      <dgm:prSet presAssocID="{01807BBD-995D-49B7-9AD2-6454D78BB58D}" presName="hierChild4" presStyleCnt="0"/>
      <dgm:spPr/>
    </dgm:pt>
    <dgm:pt modelId="{F870E99A-8D36-415D-965C-0B0D4E9D923B}" type="pres">
      <dgm:prSet presAssocID="{01807BBD-995D-49B7-9AD2-6454D78BB58D}" presName="hierChild5" presStyleCnt="0"/>
      <dgm:spPr/>
    </dgm:pt>
    <dgm:pt modelId="{566DF98F-34A9-4BC9-8C0E-D2058ACE308D}" type="pres">
      <dgm:prSet presAssocID="{18F2845A-D570-48C2-8B05-CFB806DD1600}" presName="Name37" presStyleLbl="parChTrans1D2" presStyleIdx="3" presStyleCnt="5"/>
      <dgm:spPr/>
      <dgm:t>
        <a:bodyPr/>
        <a:lstStyle/>
        <a:p>
          <a:endParaRPr lang="es-ES"/>
        </a:p>
      </dgm:t>
    </dgm:pt>
    <dgm:pt modelId="{ED7EC412-2575-4FF9-A1CB-CF8722CD5D63}" type="pres">
      <dgm:prSet presAssocID="{5BEDC9EA-FE10-441D-8009-13EC2DE2288A}" presName="hierRoot2" presStyleCnt="0">
        <dgm:presLayoutVars>
          <dgm:hierBranch val="init"/>
        </dgm:presLayoutVars>
      </dgm:prSet>
      <dgm:spPr/>
    </dgm:pt>
    <dgm:pt modelId="{6C95C95C-B00D-4F1D-B860-B6AE2F93FB50}" type="pres">
      <dgm:prSet presAssocID="{5BEDC9EA-FE10-441D-8009-13EC2DE2288A}" presName="rootComposite" presStyleCnt="0"/>
      <dgm:spPr/>
    </dgm:pt>
    <dgm:pt modelId="{D5894FBE-AD3C-4243-9E38-790567EBDE16}" type="pres">
      <dgm:prSet presAssocID="{5BEDC9EA-FE10-441D-8009-13EC2DE2288A}" presName="rootText" presStyleLbl="node2" presStyleIdx="3" presStyleCnt="5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8033D5AA-DED0-451E-8FAB-946461FEDB5F}" type="pres">
      <dgm:prSet presAssocID="{5BEDC9EA-FE10-441D-8009-13EC2DE2288A}" presName="rootConnector" presStyleLbl="node2" presStyleIdx="3" presStyleCnt="5"/>
      <dgm:spPr/>
      <dgm:t>
        <a:bodyPr/>
        <a:lstStyle/>
        <a:p>
          <a:endParaRPr lang="es-ES"/>
        </a:p>
      </dgm:t>
    </dgm:pt>
    <dgm:pt modelId="{17208040-7FCD-4463-98E4-A0689BAE6E59}" type="pres">
      <dgm:prSet presAssocID="{5BEDC9EA-FE10-441D-8009-13EC2DE2288A}" presName="hierChild4" presStyleCnt="0"/>
      <dgm:spPr/>
    </dgm:pt>
    <dgm:pt modelId="{76716486-3742-44A4-AE56-76955C9E01D9}" type="pres">
      <dgm:prSet presAssocID="{5BEDC9EA-FE10-441D-8009-13EC2DE2288A}" presName="hierChild5" presStyleCnt="0"/>
      <dgm:spPr/>
    </dgm:pt>
    <dgm:pt modelId="{A403DAD8-F648-4BF3-85B5-02EC816595A6}" type="pres">
      <dgm:prSet presAssocID="{9EAE0980-1613-4646-9F69-3CF780239FA5}" presName="Name37" presStyleLbl="parChTrans1D2" presStyleIdx="4" presStyleCnt="5"/>
      <dgm:spPr/>
      <dgm:t>
        <a:bodyPr/>
        <a:lstStyle/>
        <a:p>
          <a:endParaRPr lang="es-ES"/>
        </a:p>
      </dgm:t>
    </dgm:pt>
    <dgm:pt modelId="{C4ACBED2-74CB-419C-A3DB-EE6300CC276D}" type="pres">
      <dgm:prSet presAssocID="{83B0791D-A297-41B1-9D3F-6A5A475216AC}" presName="hierRoot2" presStyleCnt="0">
        <dgm:presLayoutVars>
          <dgm:hierBranch val="init"/>
        </dgm:presLayoutVars>
      </dgm:prSet>
      <dgm:spPr/>
    </dgm:pt>
    <dgm:pt modelId="{59B31111-52C4-4AF2-833F-9491B33BB02C}" type="pres">
      <dgm:prSet presAssocID="{83B0791D-A297-41B1-9D3F-6A5A475216AC}" presName="rootComposite" presStyleCnt="0"/>
      <dgm:spPr/>
    </dgm:pt>
    <dgm:pt modelId="{ABC9C30C-401D-45B6-9EE4-B56A6A2B2341}" type="pres">
      <dgm:prSet presAssocID="{83B0791D-A297-41B1-9D3F-6A5A475216AC}" presName="rootText" presStyleLbl="node2" presStyleIdx="4" presStyleCnt="5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7562D992-7AAF-4559-A49D-E4FD6885E82A}" type="pres">
      <dgm:prSet presAssocID="{83B0791D-A297-41B1-9D3F-6A5A475216AC}" presName="rootConnector" presStyleLbl="node2" presStyleIdx="4" presStyleCnt="5"/>
      <dgm:spPr/>
      <dgm:t>
        <a:bodyPr/>
        <a:lstStyle/>
        <a:p>
          <a:endParaRPr lang="es-ES"/>
        </a:p>
      </dgm:t>
    </dgm:pt>
    <dgm:pt modelId="{DE896C13-238B-441B-9EE2-4BDEE18AB1BF}" type="pres">
      <dgm:prSet presAssocID="{83B0791D-A297-41B1-9D3F-6A5A475216AC}" presName="hierChild4" presStyleCnt="0"/>
      <dgm:spPr/>
    </dgm:pt>
    <dgm:pt modelId="{A46F929B-F2F9-4BB2-897B-9D4A24C09678}" type="pres">
      <dgm:prSet presAssocID="{83B0791D-A297-41B1-9D3F-6A5A475216AC}" presName="hierChild5" presStyleCnt="0"/>
      <dgm:spPr/>
    </dgm:pt>
    <dgm:pt modelId="{7EF886F8-DBA3-4A81-ADDE-B1DDCF9E4A7D}" type="pres">
      <dgm:prSet presAssocID="{A7554D46-4B44-4482-A05D-FED3CDABD6A4}" presName="hierChild3" presStyleCnt="0"/>
      <dgm:spPr/>
    </dgm:pt>
  </dgm:ptLst>
  <dgm:cxnLst>
    <dgm:cxn modelId="{BE655BE5-E69B-4D75-A143-5AB0621556C7}" type="presOf" srcId="{83B0791D-A297-41B1-9D3F-6A5A475216AC}" destId="{ABC9C30C-401D-45B6-9EE4-B56A6A2B2341}" srcOrd="0" destOrd="0" presId="urn:microsoft.com/office/officeart/2005/8/layout/orgChart1"/>
    <dgm:cxn modelId="{4229DF9F-32C4-4E24-9AEB-4DCBCB027EB7}" type="presOf" srcId="{A7554D46-4B44-4482-A05D-FED3CDABD6A4}" destId="{20000FC6-4E35-43AC-813D-DB7F97886DFA}" srcOrd="1" destOrd="0" presId="urn:microsoft.com/office/officeart/2005/8/layout/orgChart1"/>
    <dgm:cxn modelId="{3ABCB988-BBC8-478F-BC40-D8550B08D9D2}" srcId="{A7554D46-4B44-4482-A05D-FED3CDABD6A4}" destId="{83B0791D-A297-41B1-9D3F-6A5A475216AC}" srcOrd="4" destOrd="0" parTransId="{9EAE0980-1613-4646-9F69-3CF780239FA5}" sibTransId="{9080C780-0C05-49B1-BEE0-1EE512EF44A1}"/>
    <dgm:cxn modelId="{2973F155-3719-47DC-9DEE-3B915C975212}" srcId="{A7554D46-4B44-4482-A05D-FED3CDABD6A4}" destId="{5BEDC9EA-FE10-441D-8009-13EC2DE2288A}" srcOrd="3" destOrd="0" parTransId="{18F2845A-D570-48C2-8B05-CFB806DD1600}" sibTransId="{7FF3EE04-39D5-4646-8CFE-08F752CCDD7C}"/>
    <dgm:cxn modelId="{00185730-D2DE-4F69-8088-5E67083A3082}" srcId="{F4306BD7-2FC1-4382-AD6C-1E9AD5F84A18}" destId="{A7554D46-4B44-4482-A05D-FED3CDABD6A4}" srcOrd="0" destOrd="0" parTransId="{F0BBB0B2-9E4B-48FD-979B-7CB983FDB9A9}" sibTransId="{4B109A2E-61BD-4209-83C7-2652046AB152}"/>
    <dgm:cxn modelId="{2D06531D-2620-46DF-8222-E2D573554783}" type="presOf" srcId="{DC0D7A1B-9B86-4B54-B679-D23905EEF790}" destId="{57D8874A-A4C0-40E8-90F6-47A052DBF9CA}" srcOrd="0" destOrd="0" presId="urn:microsoft.com/office/officeart/2005/8/layout/orgChart1"/>
    <dgm:cxn modelId="{A2E104BF-D452-4F47-B6DB-60A5587F2FFD}" type="presOf" srcId="{01807BBD-995D-49B7-9AD2-6454D78BB58D}" destId="{D510497D-2B1A-4C52-91F9-28DDF90A6F59}" srcOrd="1" destOrd="0" presId="urn:microsoft.com/office/officeart/2005/8/layout/orgChart1"/>
    <dgm:cxn modelId="{0183F288-1624-4D95-9F43-DFBCFB337161}" type="presOf" srcId="{01807BBD-995D-49B7-9AD2-6454D78BB58D}" destId="{D61CFE12-399D-4A77-B881-3F1795B91EF6}" srcOrd="0" destOrd="0" presId="urn:microsoft.com/office/officeart/2005/8/layout/orgChart1"/>
    <dgm:cxn modelId="{CC174E47-CEFC-4174-BA8B-707C0C9C3E07}" srcId="{A7554D46-4B44-4482-A05D-FED3CDABD6A4}" destId="{DC0D7A1B-9B86-4B54-B679-D23905EEF790}" srcOrd="0" destOrd="0" parTransId="{51AA55C2-1151-47AB-B6C7-C7BF14475AAC}" sibTransId="{8DEAA72F-620F-4AB3-951E-F5C9AC3213BE}"/>
    <dgm:cxn modelId="{18B9F6E1-CBC0-4A9B-89B9-962C1A2E5BA0}" type="presOf" srcId="{27955EEF-FF0D-4923-A34E-9244E6A9BA16}" destId="{DAEF8108-AA22-4734-9AC6-4AA7C7EE78CE}" srcOrd="0" destOrd="0" presId="urn:microsoft.com/office/officeart/2005/8/layout/orgChart1"/>
    <dgm:cxn modelId="{943FEF10-7453-4906-9ECA-AF94E30AB017}" type="presOf" srcId="{9EAE0980-1613-4646-9F69-3CF780239FA5}" destId="{A403DAD8-F648-4BF3-85B5-02EC816595A6}" srcOrd="0" destOrd="0" presId="urn:microsoft.com/office/officeart/2005/8/layout/orgChart1"/>
    <dgm:cxn modelId="{07E628E0-75CA-4B6A-AA4A-A0E4796100F8}" type="presOf" srcId="{00E8D20D-BA5D-4CC2-A511-7721FD501B3D}" destId="{64157950-A2C6-46D0-9EEA-4ECBBC259B05}" srcOrd="0" destOrd="0" presId="urn:microsoft.com/office/officeart/2005/8/layout/orgChart1"/>
    <dgm:cxn modelId="{16A0797F-D867-472D-8A00-2CE49EF2F60C}" type="presOf" srcId="{5BEDC9EA-FE10-441D-8009-13EC2DE2288A}" destId="{D5894FBE-AD3C-4243-9E38-790567EBDE16}" srcOrd="0" destOrd="0" presId="urn:microsoft.com/office/officeart/2005/8/layout/orgChart1"/>
    <dgm:cxn modelId="{AF788355-94E5-428A-8530-414C8EC5751D}" type="presOf" srcId="{27955EEF-FF0D-4923-A34E-9244E6A9BA16}" destId="{482FD99C-81E6-4224-A130-3A373CD9D974}" srcOrd="1" destOrd="0" presId="urn:microsoft.com/office/officeart/2005/8/layout/orgChart1"/>
    <dgm:cxn modelId="{F6BC1C6A-12F8-43FB-8BB6-716B7C5BCEAE}" srcId="{A7554D46-4B44-4482-A05D-FED3CDABD6A4}" destId="{01807BBD-995D-49B7-9AD2-6454D78BB58D}" srcOrd="2" destOrd="0" parTransId="{00E8D20D-BA5D-4CC2-A511-7721FD501B3D}" sibTransId="{1D4025FF-E6AE-48A6-BE70-89127E6C8309}"/>
    <dgm:cxn modelId="{38B75797-F405-4CE2-9598-9C118B21C87F}" type="presOf" srcId="{18F2845A-D570-48C2-8B05-CFB806DD1600}" destId="{566DF98F-34A9-4BC9-8C0E-D2058ACE308D}" srcOrd="0" destOrd="0" presId="urn:microsoft.com/office/officeart/2005/8/layout/orgChart1"/>
    <dgm:cxn modelId="{C635ECB8-5797-426F-A212-26DEA40015EC}" srcId="{A7554D46-4B44-4482-A05D-FED3CDABD6A4}" destId="{27955EEF-FF0D-4923-A34E-9244E6A9BA16}" srcOrd="1" destOrd="0" parTransId="{F64A2DC9-B880-4447-84AF-C712E8AD62FF}" sibTransId="{8535E1DB-BF44-4B95-94CD-943D55424C61}"/>
    <dgm:cxn modelId="{C3FEF705-0DA2-47D0-8005-6BF3F4010605}" type="presOf" srcId="{51AA55C2-1151-47AB-B6C7-C7BF14475AAC}" destId="{58970035-A12B-4D45-B576-3676DE5D79B9}" srcOrd="0" destOrd="0" presId="urn:microsoft.com/office/officeart/2005/8/layout/orgChart1"/>
    <dgm:cxn modelId="{CB9A9C15-01D7-4CC0-98A3-396ACDEA1D31}" type="presOf" srcId="{A7554D46-4B44-4482-A05D-FED3CDABD6A4}" destId="{8547EB04-2477-43DC-A592-2939AAEC4F3E}" srcOrd="0" destOrd="0" presId="urn:microsoft.com/office/officeart/2005/8/layout/orgChart1"/>
    <dgm:cxn modelId="{EB228817-F676-4E7E-A753-064C4D16CD01}" type="presOf" srcId="{DC0D7A1B-9B86-4B54-B679-D23905EEF790}" destId="{DD94A08C-E1F9-42EE-A7CA-6D6B0EA195BB}" srcOrd="1" destOrd="0" presId="urn:microsoft.com/office/officeart/2005/8/layout/orgChart1"/>
    <dgm:cxn modelId="{1EEB7E58-2BF8-4137-AB2A-23C33AAE41EA}" type="presOf" srcId="{F64A2DC9-B880-4447-84AF-C712E8AD62FF}" destId="{740684CD-6AB4-4885-B2C3-ED40E7D987CA}" srcOrd="0" destOrd="0" presId="urn:microsoft.com/office/officeart/2005/8/layout/orgChart1"/>
    <dgm:cxn modelId="{D1266C74-924A-4CA5-8C92-9BF5E4516500}" type="presOf" srcId="{5BEDC9EA-FE10-441D-8009-13EC2DE2288A}" destId="{8033D5AA-DED0-451E-8FAB-946461FEDB5F}" srcOrd="1" destOrd="0" presId="urn:microsoft.com/office/officeart/2005/8/layout/orgChart1"/>
    <dgm:cxn modelId="{E384C8CC-F66A-4AE2-B538-078B9216A54C}" type="presOf" srcId="{F4306BD7-2FC1-4382-AD6C-1E9AD5F84A18}" destId="{7BCFB2D1-6574-4CA7-A18A-12C90538903B}" srcOrd="0" destOrd="0" presId="urn:microsoft.com/office/officeart/2005/8/layout/orgChart1"/>
    <dgm:cxn modelId="{B14887EA-FCFE-4E76-BDF5-90C549B3B110}" type="presOf" srcId="{83B0791D-A297-41B1-9D3F-6A5A475216AC}" destId="{7562D992-7AAF-4559-A49D-E4FD6885E82A}" srcOrd="1" destOrd="0" presId="urn:microsoft.com/office/officeart/2005/8/layout/orgChart1"/>
    <dgm:cxn modelId="{D0BEE410-12C2-421F-A0E5-7B2CD8D59B95}" type="presParOf" srcId="{7BCFB2D1-6574-4CA7-A18A-12C90538903B}" destId="{2AA9F53A-A544-4F7C-B617-78C34D0DAA30}" srcOrd="0" destOrd="0" presId="urn:microsoft.com/office/officeart/2005/8/layout/orgChart1"/>
    <dgm:cxn modelId="{825B4D17-2B98-46D8-A163-53CC61EFD4C5}" type="presParOf" srcId="{2AA9F53A-A544-4F7C-B617-78C34D0DAA30}" destId="{930DF093-0E63-4FE0-B5A8-4E74D272F53C}" srcOrd="0" destOrd="0" presId="urn:microsoft.com/office/officeart/2005/8/layout/orgChart1"/>
    <dgm:cxn modelId="{485AB9FE-E8BF-469E-9014-8DFBEAABDD83}" type="presParOf" srcId="{930DF093-0E63-4FE0-B5A8-4E74D272F53C}" destId="{8547EB04-2477-43DC-A592-2939AAEC4F3E}" srcOrd="0" destOrd="0" presId="urn:microsoft.com/office/officeart/2005/8/layout/orgChart1"/>
    <dgm:cxn modelId="{15D7BA2C-EB6E-4E51-A180-0C83C685E8CF}" type="presParOf" srcId="{930DF093-0E63-4FE0-B5A8-4E74D272F53C}" destId="{20000FC6-4E35-43AC-813D-DB7F97886DFA}" srcOrd="1" destOrd="0" presId="urn:microsoft.com/office/officeart/2005/8/layout/orgChart1"/>
    <dgm:cxn modelId="{A1369DA9-5D47-4D81-B0C5-98EC1DC1F619}" type="presParOf" srcId="{2AA9F53A-A544-4F7C-B617-78C34D0DAA30}" destId="{FE27FA1F-E888-4728-AAA8-0B7770F761F2}" srcOrd="1" destOrd="0" presId="urn:microsoft.com/office/officeart/2005/8/layout/orgChart1"/>
    <dgm:cxn modelId="{F11A299D-3435-48F3-83AF-F3605BDA006E}" type="presParOf" srcId="{FE27FA1F-E888-4728-AAA8-0B7770F761F2}" destId="{58970035-A12B-4D45-B576-3676DE5D79B9}" srcOrd="0" destOrd="0" presId="urn:microsoft.com/office/officeart/2005/8/layout/orgChart1"/>
    <dgm:cxn modelId="{B06D8983-2FDA-4737-B49E-405A66A3D6D9}" type="presParOf" srcId="{FE27FA1F-E888-4728-AAA8-0B7770F761F2}" destId="{D8A189A6-C0FB-4940-BFD6-96455A0AD7A7}" srcOrd="1" destOrd="0" presId="urn:microsoft.com/office/officeart/2005/8/layout/orgChart1"/>
    <dgm:cxn modelId="{F97E6AD1-AC74-443F-BD3E-D1D727B871DF}" type="presParOf" srcId="{D8A189A6-C0FB-4940-BFD6-96455A0AD7A7}" destId="{B673DD5A-6610-429A-841C-30B11D9D4FC2}" srcOrd="0" destOrd="0" presId="urn:microsoft.com/office/officeart/2005/8/layout/orgChart1"/>
    <dgm:cxn modelId="{C810B44C-D726-4FEF-B596-D53769FDD9D5}" type="presParOf" srcId="{B673DD5A-6610-429A-841C-30B11D9D4FC2}" destId="{57D8874A-A4C0-40E8-90F6-47A052DBF9CA}" srcOrd="0" destOrd="0" presId="urn:microsoft.com/office/officeart/2005/8/layout/orgChart1"/>
    <dgm:cxn modelId="{2D024069-E260-45A6-8FE0-D77FB6DAC8D5}" type="presParOf" srcId="{B673DD5A-6610-429A-841C-30B11D9D4FC2}" destId="{DD94A08C-E1F9-42EE-A7CA-6D6B0EA195BB}" srcOrd="1" destOrd="0" presId="urn:microsoft.com/office/officeart/2005/8/layout/orgChart1"/>
    <dgm:cxn modelId="{FBB4A7E3-5B4F-4691-9CAC-BB526FDBDE26}" type="presParOf" srcId="{D8A189A6-C0FB-4940-BFD6-96455A0AD7A7}" destId="{AFD8D326-7570-4FDB-8921-A47C3ECBDF78}" srcOrd="1" destOrd="0" presId="urn:microsoft.com/office/officeart/2005/8/layout/orgChart1"/>
    <dgm:cxn modelId="{640DB7D6-A887-47E5-951B-8FFEB6483534}" type="presParOf" srcId="{D8A189A6-C0FB-4940-BFD6-96455A0AD7A7}" destId="{55EA3F24-DB80-4B4F-8A9E-A7CB4EBAA5D8}" srcOrd="2" destOrd="0" presId="urn:microsoft.com/office/officeart/2005/8/layout/orgChart1"/>
    <dgm:cxn modelId="{43D09F5D-FBE2-48EF-B38A-B0C57FB02B4E}" type="presParOf" srcId="{FE27FA1F-E888-4728-AAA8-0B7770F761F2}" destId="{740684CD-6AB4-4885-B2C3-ED40E7D987CA}" srcOrd="2" destOrd="0" presId="urn:microsoft.com/office/officeart/2005/8/layout/orgChart1"/>
    <dgm:cxn modelId="{DD996E44-08F1-4B1C-B0BA-E48EB3CB215A}" type="presParOf" srcId="{FE27FA1F-E888-4728-AAA8-0B7770F761F2}" destId="{BA9B68C2-7B01-40B3-93B6-B045DEA76131}" srcOrd="3" destOrd="0" presId="urn:microsoft.com/office/officeart/2005/8/layout/orgChart1"/>
    <dgm:cxn modelId="{D5B94BFF-EAFE-4CAE-8D38-80EEC19B0B17}" type="presParOf" srcId="{BA9B68C2-7B01-40B3-93B6-B045DEA76131}" destId="{7A2820F7-A1FD-4637-9399-BB72A56B4C7D}" srcOrd="0" destOrd="0" presId="urn:microsoft.com/office/officeart/2005/8/layout/orgChart1"/>
    <dgm:cxn modelId="{291E64A2-2025-4163-BC77-86ED25232717}" type="presParOf" srcId="{7A2820F7-A1FD-4637-9399-BB72A56B4C7D}" destId="{DAEF8108-AA22-4734-9AC6-4AA7C7EE78CE}" srcOrd="0" destOrd="0" presId="urn:microsoft.com/office/officeart/2005/8/layout/orgChart1"/>
    <dgm:cxn modelId="{B1F76E97-CE05-48DE-AAEF-24E6EAAFCCDD}" type="presParOf" srcId="{7A2820F7-A1FD-4637-9399-BB72A56B4C7D}" destId="{482FD99C-81E6-4224-A130-3A373CD9D974}" srcOrd="1" destOrd="0" presId="urn:microsoft.com/office/officeart/2005/8/layout/orgChart1"/>
    <dgm:cxn modelId="{6A13FD21-9A03-4150-A867-481D03C701E2}" type="presParOf" srcId="{BA9B68C2-7B01-40B3-93B6-B045DEA76131}" destId="{D4E4A8EF-C327-4672-B557-9E2A632F67DA}" srcOrd="1" destOrd="0" presId="urn:microsoft.com/office/officeart/2005/8/layout/orgChart1"/>
    <dgm:cxn modelId="{E3D7EDFA-B9EF-433F-83D8-6AC6DE34D051}" type="presParOf" srcId="{BA9B68C2-7B01-40B3-93B6-B045DEA76131}" destId="{9265A364-D0DC-4BC5-8702-5D20F4E0944F}" srcOrd="2" destOrd="0" presId="urn:microsoft.com/office/officeart/2005/8/layout/orgChart1"/>
    <dgm:cxn modelId="{60C41A9D-D278-4105-BABC-E55FA3B4C67F}" type="presParOf" srcId="{FE27FA1F-E888-4728-AAA8-0B7770F761F2}" destId="{64157950-A2C6-46D0-9EEA-4ECBBC259B05}" srcOrd="4" destOrd="0" presId="urn:microsoft.com/office/officeart/2005/8/layout/orgChart1"/>
    <dgm:cxn modelId="{56196E69-05BE-4A1D-9A01-D6F3922CE36E}" type="presParOf" srcId="{FE27FA1F-E888-4728-AAA8-0B7770F761F2}" destId="{9437E918-62B9-41C5-854A-0CD992C965D4}" srcOrd="5" destOrd="0" presId="urn:microsoft.com/office/officeart/2005/8/layout/orgChart1"/>
    <dgm:cxn modelId="{AA3BBDD1-2776-4C87-9648-D3C7633B5786}" type="presParOf" srcId="{9437E918-62B9-41C5-854A-0CD992C965D4}" destId="{4BA6B71F-7E38-4F18-AD48-12F167E6374E}" srcOrd="0" destOrd="0" presId="urn:microsoft.com/office/officeart/2005/8/layout/orgChart1"/>
    <dgm:cxn modelId="{3037F05F-D68A-4160-8832-5DCB425B9138}" type="presParOf" srcId="{4BA6B71F-7E38-4F18-AD48-12F167E6374E}" destId="{D61CFE12-399D-4A77-B881-3F1795B91EF6}" srcOrd="0" destOrd="0" presId="urn:microsoft.com/office/officeart/2005/8/layout/orgChart1"/>
    <dgm:cxn modelId="{90202F39-5991-4309-84C1-3678A230A35D}" type="presParOf" srcId="{4BA6B71F-7E38-4F18-AD48-12F167E6374E}" destId="{D510497D-2B1A-4C52-91F9-28DDF90A6F59}" srcOrd="1" destOrd="0" presId="urn:microsoft.com/office/officeart/2005/8/layout/orgChart1"/>
    <dgm:cxn modelId="{CAB89521-905A-4097-8A49-CD1EC00DC60A}" type="presParOf" srcId="{9437E918-62B9-41C5-854A-0CD992C965D4}" destId="{AD24BB6D-C954-494E-8718-E5E53748BD4E}" srcOrd="1" destOrd="0" presId="urn:microsoft.com/office/officeart/2005/8/layout/orgChart1"/>
    <dgm:cxn modelId="{B2A7A24A-BB3C-4F23-96D5-1E14738897EA}" type="presParOf" srcId="{9437E918-62B9-41C5-854A-0CD992C965D4}" destId="{F870E99A-8D36-415D-965C-0B0D4E9D923B}" srcOrd="2" destOrd="0" presId="urn:microsoft.com/office/officeart/2005/8/layout/orgChart1"/>
    <dgm:cxn modelId="{3DF10C1D-E75B-49D1-8C82-D44358ECBFD6}" type="presParOf" srcId="{FE27FA1F-E888-4728-AAA8-0B7770F761F2}" destId="{566DF98F-34A9-4BC9-8C0E-D2058ACE308D}" srcOrd="6" destOrd="0" presId="urn:microsoft.com/office/officeart/2005/8/layout/orgChart1"/>
    <dgm:cxn modelId="{43A0D1C3-9079-44DF-8AF1-DF4604552250}" type="presParOf" srcId="{FE27FA1F-E888-4728-AAA8-0B7770F761F2}" destId="{ED7EC412-2575-4FF9-A1CB-CF8722CD5D63}" srcOrd="7" destOrd="0" presId="urn:microsoft.com/office/officeart/2005/8/layout/orgChart1"/>
    <dgm:cxn modelId="{7B8191F0-7737-4D8D-B4EF-6C38E1502E41}" type="presParOf" srcId="{ED7EC412-2575-4FF9-A1CB-CF8722CD5D63}" destId="{6C95C95C-B00D-4F1D-B860-B6AE2F93FB50}" srcOrd="0" destOrd="0" presId="urn:microsoft.com/office/officeart/2005/8/layout/orgChart1"/>
    <dgm:cxn modelId="{0E6DA49E-2F95-42E7-8AFC-DC80EAC81C4A}" type="presParOf" srcId="{6C95C95C-B00D-4F1D-B860-B6AE2F93FB50}" destId="{D5894FBE-AD3C-4243-9E38-790567EBDE16}" srcOrd="0" destOrd="0" presId="urn:microsoft.com/office/officeart/2005/8/layout/orgChart1"/>
    <dgm:cxn modelId="{D0BF9F5E-2148-4C0A-A415-0318008FD151}" type="presParOf" srcId="{6C95C95C-B00D-4F1D-B860-B6AE2F93FB50}" destId="{8033D5AA-DED0-451E-8FAB-946461FEDB5F}" srcOrd="1" destOrd="0" presId="urn:microsoft.com/office/officeart/2005/8/layout/orgChart1"/>
    <dgm:cxn modelId="{93BCE98E-684F-4396-A8B8-2EC4A1CBEE11}" type="presParOf" srcId="{ED7EC412-2575-4FF9-A1CB-CF8722CD5D63}" destId="{17208040-7FCD-4463-98E4-A0689BAE6E59}" srcOrd="1" destOrd="0" presId="urn:microsoft.com/office/officeart/2005/8/layout/orgChart1"/>
    <dgm:cxn modelId="{DCADCE1F-7417-4048-8EC8-58A8676F181E}" type="presParOf" srcId="{ED7EC412-2575-4FF9-A1CB-CF8722CD5D63}" destId="{76716486-3742-44A4-AE56-76955C9E01D9}" srcOrd="2" destOrd="0" presId="urn:microsoft.com/office/officeart/2005/8/layout/orgChart1"/>
    <dgm:cxn modelId="{82E5FBDC-93B9-4D39-8D62-554A08994F57}" type="presParOf" srcId="{FE27FA1F-E888-4728-AAA8-0B7770F761F2}" destId="{A403DAD8-F648-4BF3-85B5-02EC816595A6}" srcOrd="8" destOrd="0" presId="urn:microsoft.com/office/officeart/2005/8/layout/orgChart1"/>
    <dgm:cxn modelId="{B15CE7D4-3A56-4288-A304-5357D96DA339}" type="presParOf" srcId="{FE27FA1F-E888-4728-AAA8-0B7770F761F2}" destId="{C4ACBED2-74CB-419C-A3DB-EE6300CC276D}" srcOrd="9" destOrd="0" presId="urn:microsoft.com/office/officeart/2005/8/layout/orgChart1"/>
    <dgm:cxn modelId="{1AB94AC6-BDF7-4EC4-9A60-B840D0783273}" type="presParOf" srcId="{C4ACBED2-74CB-419C-A3DB-EE6300CC276D}" destId="{59B31111-52C4-4AF2-833F-9491B33BB02C}" srcOrd="0" destOrd="0" presId="urn:microsoft.com/office/officeart/2005/8/layout/orgChart1"/>
    <dgm:cxn modelId="{37B06C96-83AC-435F-813D-E81A3FFC506A}" type="presParOf" srcId="{59B31111-52C4-4AF2-833F-9491B33BB02C}" destId="{ABC9C30C-401D-45B6-9EE4-B56A6A2B2341}" srcOrd="0" destOrd="0" presId="urn:microsoft.com/office/officeart/2005/8/layout/orgChart1"/>
    <dgm:cxn modelId="{F95F2CA9-0397-4D37-AF6A-FA41B90EB714}" type="presParOf" srcId="{59B31111-52C4-4AF2-833F-9491B33BB02C}" destId="{7562D992-7AAF-4559-A49D-E4FD6885E82A}" srcOrd="1" destOrd="0" presId="urn:microsoft.com/office/officeart/2005/8/layout/orgChart1"/>
    <dgm:cxn modelId="{96AAAEAA-20AF-4239-97A9-1D6202EDC9E1}" type="presParOf" srcId="{C4ACBED2-74CB-419C-A3DB-EE6300CC276D}" destId="{DE896C13-238B-441B-9EE2-4BDEE18AB1BF}" srcOrd="1" destOrd="0" presId="urn:microsoft.com/office/officeart/2005/8/layout/orgChart1"/>
    <dgm:cxn modelId="{536921AD-84DF-4FFC-8C0B-45232B322D29}" type="presParOf" srcId="{C4ACBED2-74CB-419C-A3DB-EE6300CC276D}" destId="{A46F929B-F2F9-4BB2-897B-9D4A24C09678}" srcOrd="2" destOrd="0" presId="urn:microsoft.com/office/officeart/2005/8/layout/orgChart1"/>
    <dgm:cxn modelId="{291D12E2-5A80-4E53-AC0A-1BFA8E402A83}" type="presParOf" srcId="{2AA9F53A-A544-4F7C-B617-78C34D0DAA30}" destId="{7EF886F8-DBA3-4A81-ADDE-B1DDCF9E4A7D}" srcOrd="2" destOrd="0" presId="urn:microsoft.com/office/officeart/2005/8/layout/orgChart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orgChart1">
  <dgm:title val=""/>
  <dgm:desc val=""/>
  <dgm:catLst>
    <dgm:cat type="hierarchy" pri="1000"/>
    <dgm:cat type="convert" pri="600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" refType="w" fact="10"/>
      <dgm:constr type="h" for="des" forName="rootComposite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axis="ch" ptType="asst" func="cnt" op="gte" val="1">
                  <dgm:alg type="hierRoot">
                    <dgm:param type="hierAlign" val="tR"/>
                  </dgm:alg>
                  <dgm:constrLst>
                    <dgm:constr type="alignOff" val="0.65"/>
                  </dgm:constrLst>
                </dgm:if>
                <dgm:else name="Name9">
                  <dgm:alg type="hierRoot">
                    <dgm:param type="hierAlign" val="tR"/>
                  </dgm:alg>
                  <dgm:constrLst>
                    <dgm:constr type="alignOff" val="0.25"/>
                  </dgm:constrLst>
                </dgm:else>
              </dgm:choose>
            </dgm:if>
            <dgm:if name="Name10" func="var" arg="hierBranch" op="equ" val="r">
              <dgm:choose name="Name11">
                <dgm:if name="Name12" axis="ch" ptType="asst" func="cnt" op="gte" val="1">
                  <dgm:alg type="hierRoot">
                    <dgm:param type="hierAlign" val="tL"/>
                  </dgm:alg>
                  <dgm:constrLst>
                    <dgm:constr type="alignOff" val="0.65"/>
                  </dgm:constrLst>
                </dgm:if>
                <dgm:else name="Name13">
                  <dgm:alg type="hierRoot">
                    <dgm:param type="hierAlign" val="tL"/>
                  </dgm:alg>
                  <dgm:constrLst>
                    <dgm:constr type="alignOff" val="0.25"/>
                  </dgm:constrLst>
                </dgm:else>
              </dgm:choose>
            </dgm:if>
            <dgm:if name="Name14" func="var" arg="hierBranch" op="equ" val="hang">
              <dgm:alg type="hierRoot"/>
              <dgm:constrLst>
                <dgm:constr type="alignOff" val="0.65"/>
              </dgm:constrLst>
            </dgm:if>
            <dgm:else name="Name15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6">
              <dgm:if name="Name17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8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9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0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1">
              <dgm:if name="Name22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23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24" func="var" arg="hierBranch" op="equ" val="hang">
                <dgm:choose name="Name25">
                  <dgm:if name="Name26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7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8">
                <dgm:choose name="Name29">
                  <dgm:if name="Name30" func="var" arg="dir" op="equ" val="norm">
                    <dgm:alg type="hierChild"/>
                  </dgm:if>
                  <dgm:else name="Name31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32" axis="precedSib" ptType="parTrans" st="-1" cnt="1">
                <dgm:choose name="Name33">
                  <dgm:if name="Name34" func="var" arg="hierBranch" op="equ" val="std">
                    <dgm:layoutNode name="Name3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tCtr"/>
                        <dgm:param type="bendPt" val="end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36" func="var" arg="hierBranch" op="equ" val="init">
                    <dgm:layoutNode name="Name37">
                      <dgm:choose name="Name38">
                        <dgm:if name="Name39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</dgm:alg>
                        </dgm:if>
                        <dgm:else name="Name40">
                          <dgm:choose name="Name41">
                            <dgm:if name="Name42" axis="par des" func="maxDepth" op="lte" val="1">
                              <dgm:choose name="Name43">
                                <dgm:if name="Name44" axis="par ch" ptType="node asst" func="cnt" op="gte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</dgm:alg>
                                </dgm:if>
                                <dgm:else name="Name45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  <dgm:param type="srcNode" val="rootConnector"/>
                                  </dgm:alg>
                                </dgm:else>
                              </dgm:choose>
                            </dgm:if>
                            <dgm:else name="Name46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47" func="var" arg="hierBranch" op="equ" val="hang">
                    <dgm:layoutNode name="Name48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midL midR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49">
                    <dgm:layoutNode name="Name50">
                      <dgm:choose name="Name51">
                        <dgm:if name="Name52" axis="self" func="depth" op="lte" val="2">
                          <dgm:choose name="Name53">
                            <dgm:if name="Name54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5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1"/>
                              </dgm:alg>
                            </dgm:else>
                          </dgm:choose>
                        </dgm:if>
                        <dgm:else name="Name56">
                          <dgm:choose name="Name57">
                            <dgm:if name="Name58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9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60">
                  <dgm:if name="Name61" func="var" arg="hierBranch" op="equ" val="l">
                    <dgm:choose name="Name62">
                      <dgm:if name="Name63" axis="ch" ptType="asst" func="cnt" op="gte" val="1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4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5" func="var" arg="hierBranch" op="equ" val="r">
                    <dgm:choose name="Name66">
                      <dgm:if name="Name67" axis="ch" ptType="asst" func="cnt" op="g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8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9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70" func="var" arg="hierBranch" op="equ" val="init">
                    <dgm:choose name="Name71">
                      <dgm:if name="Name72" axis="des" func="maxDepth" op="lte" val="1">
                        <dgm:choose name="Name73">
                          <dgm:if name="Name74" axis="ch" ptType="asst" func="cnt" op="gte" val="1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65"/>
                            </dgm:constrLst>
                          </dgm:if>
                          <dgm:else name="Name75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25"/>
                            </dgm:constrLst>
                          </dgm:else>
                        </dgm:choose>
                      </dgm:if>
                      <dgm:else name="Name7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7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78">
                    <dgm:if name="Name79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0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1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82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83">
                    <dgm:if name="Name8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8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86" func="var" arg="hierBranch" op="equ" val="hang">
                      <dgm:choose name="Name87">
                        <dgm:if name="Name8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8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90" func="var" arg="hierBranch" op="equ" val="std">
                      <dgm:choose name="Name91">
                        <dgm:if name="Name92" func="var" arg="dir" op="equ" val="norm">
                          <dgm:alg type="hierChild"/>
                        </dgm:if>
                        <dgm:else name="Name9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94" func="var" arg="hierBranch" op="equ" val="init">
                      <dgm:choose name="Name95">
                        <dgm:if name="Name9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97">
                          <dgm:choose name="Name98">
                            <dgm:if name="Name99" func="var" arg="dir" op="equ" val="norm">
                              <dgm:alg type="hierChild"/>
                            </dgm:if>
                            <dgm:else name="Name10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101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2" ref="rep2a"/>
                </dgm:layoutNode>
                <dgm:layoutNode name="hierChild5">
                  <dgm:choose name="Name103">
                    <dgm:if name="Name10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0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6" ref="rep2b"/>
                </dgm:layoutNode>
              </dgm:layoutNode>
            </dgm:forEach>
          </dgm:layoutNode>
          <dgm:layoutNode name="hierChild3">
            <dgm:choose name="Name107">
              <dgm:if name="Name10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10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110" axis="precedSib" ptType="parTrans" st="-1" cnt="1">
                <dgm:layoutNode name="Name111">
                  <dgm:alg type="conn">
                    <dgm:param type="connRout" val="bend"/>
                    <dgm:param type="dim" val="1D"/>
                    <dgm:param type="endSty" val="noArr"/>
                    <dgm:param type="begPts" val="bCtr"/>
                    <dgm:param type="endPts" val="midL midR"/>
                  </dgm:alg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112">
                  <dgm:if name="Name113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4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5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6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7" func="var" arg="hierBranch" op="equ" val="init">
                    <dgm:choose name="Name118">
                      <dgm:if name="Name119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20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21"/>
                </dgm:choose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22">
                    <dgm:if name="Name123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4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5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26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27">
                    <dgm:if name="Name128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9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30" func="var" arg="hierBranch" op="equ" val="hang">
                      <dgm:choose name="Name131">
                        <dgm:if name="Name132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33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34" func="var" arg="hierBranch" op="equ" val="std">
                      <dgm:choose name="Name135">
                        <dgm:if name="Name136" func="var" arg="dir" op="equ" val="norm">
                          <dgm:alg type="hierChild"/>
                        </dgm:if>
                        <dgm:else name="Name137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8" func="var" arg="hierBranch" op="equ" val="init">
                      <dgm:choose name="Name139">
                        <dgm:if name="Name140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41">
                          <dgm:alg type="hierChild"/>
                        </dgm:else>
                      </dgm:choose>
                    </dgm:if>
                    <dgm:else name="Name142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3" ref="rep2a"/>
                </dgm:layoutNode>
                <dgm:layoutNode name="hierChild7">
                  <dgm:choose name="Name144">
                    <dgm:if name="Name145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6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7" ref="rep2b"/>
                </dgm:layoutNode>
              </dgm:layoutNode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3d2">
  <dgm:title val=""/>
  <dgm:desc val=""/>
  <dgm:catLst>
    <dgm:cat type="3D" pri="11200"/>
  </dgm:catLst>
  <dgm:scene3d>
    <a:camera prst="orthographicFront"/>
    <a:lightRig rig="threePt" dir="t"/>
  </dgm:scene3d>
  <dgm:styleLbl name="node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tx1"/>
      </a:fontRef>
    </dgm:style>
  </dgm:styleLbl>
  <dgm:styleLbl name="aling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>
        <a:rot lat="0" lon="0" rev="7500000"/>
      </a:lightRig>
    </dgm:scene3d>
    <dgm:sp3d z="2540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>
        <a:rot lat="0" lon="0" rev="7500000"/>
      </a:lightRig>
    </dgm:scene3d>
    <dgm:sp3d z="-1524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>
        <a:rot lat="0" lon="0" rev="7500000"/>
      </a:lightRig>
    </dgm:scene3d>
    <dgm:sp3d z="-700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>
        <a:rot lat="0" lon="0" rev="7500000"/>
      </a:lightRig>
    </dgm:scene3d>
    <dgm:sp3d z="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>
        <a:rot lat="0" lon="0" rev="7500000"/>
      </a:lightRig>
    </dgm:scene3d>
    <dgm:sp3d z="-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>
        <a:rot lat="0" lon="0" rev="7500000"/>
      </a:lightRig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threePt" dir="t">
        <a:rot lat="0" lon="0" rev="7500000"/>
      </a:lightRig>
    </dgm:scene3d>
    <dgm:sp3d extrusionH="190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>
        <a:rot lat="0" lon="0" rev="7500000"/>
      </a:lightRig>
    </dgm:scene3d>
    <dgm:sp3d prstMaterial="plastic">
      <a:bevelT w="127000" h="354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2445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0800" h="190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bevelB w="120650" h="571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threePt" dir="t">
        <a:rot lat="0" lon="0" rev="7500000"/>
      </a:lightRig>
    </dgm:scene3d>
    <dgm:sp3d z="-152400" extrusionH="63500" prstMaterial="matte">
      <a:bevelT w="144450" h="6350" prst="relaxedInset"/>
      <a:contourClr>
        <a:schemeClr val="bg1"/>
      </a:contourClr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  <a:bevelB w="88900" h="121750" prst="angle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trBgShp">
    <dgm:scene3d>
      <a:camera prst="orthographicFront"/>
      <a:lightRig rig="threePt" dir="t"/>
    </dgm:scene3d>
    <dgm:sp3d z="-1524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image" Target="../media/image8.emf"/><Relationship Id="rId7" Type="http://schemas.openxmlformats.org/officeDocument/2006/relationships/chart" Target="../charts/chart14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3.xml"/><Relationship Id="rId11" Type="http://schemas.openxmlformats.org/officeDocument/2006/relationships/chart" Target="../charts/chart18.xml"/><Relationship Id="rId5" Type="http://schemas.openxmlformats.org/officeDocument/2006/relationships/chart" Target="../charts/chart12.xml"/><Relationship Id="rId10" Type="http://schemas.openxmlformats.org/officeDocument/2006/relationships/chart" Target="../charts/chart17.xml"/><Relationship Id="rId4" Type="http://schemas.openxmlformats.org/officeDocument/2006/relationships/chart" Target="../charts/chart11.xml"/><Relationship Id="rId9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9</xdr:col>
      <xdr:colOff>152400</xdr:colOff>
      <xdr:row>20</xdr:row>
      <xdr:rowOff>152400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</xdr:row>
      <xdr:rowOff>104775</xdr:rowOff>
    </xdr:from>
    <xdr:to>
      <xdr:col>25</xdr:col>
      <xdr:colOff>752475</xdr:colOff>
      <xdr:row>15</xdr:row>
      <xdr:rowOff>180975</xdr:rowOff>
    </xdr:to>
    <xdr:graphicFrame macro="">
      <xdr:nvGraphicFramePr>
        <xdr:cNvPr id="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609600</xdr:colOff>
      <xdr:row>73</xdr:row>
      <xdr:rowOff>38100</xdr:rowOff>
    </xdr:from>
    <xdr:to>
      <xdr:col>30</xdr:col>
      <xdr:colOff>609600</xdr:colOff>
      <xdr:row>87</xdr:row>
      <xdr:rowOff>114300</xdr:rowOff>
    </xdr:to>
    <xdr:graphicFrame macro="">
      <xdr:nvGraphicFramePr>
        <xdr:cNvPr id="6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35</xdr:col>
      <xdr:colOff>685800</xdr:colOff>
      <xdr:row>63</xdr:row>
      <xdr:rowOff>180975</xdr:rowOff>
    </xdr:from>
    <xdr:to>
      <xdr:col>39</xdr:col>
      <xdr:colOff>323849</xdr:colOff>
      <xdr:row>72</xdr:row>
      <xdr:rowOff>38100</xdr:rowOff>
    </xdr:to>
    <xdr:pic>
      <xdr:nvPicPr>
        <xdr:cNvPr id="14" name="27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02925" y="14192250"/>
          <a:ext cx="29908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10</xdr:row>
          <xdr:rowOff>0</xdr:rowOff>
        </xdr:from>
        <xdr:to>
          <xdr:col>20</xdr:col>
          <xdr:colOff>219075</xdr:colOff>
          <xdr:row>11</xdr:row>
          <xdr:rowOff>0</xdr:rowOff>
        </xdr:to>
        <xdr:sp macro="" textlink="">
          <xdr:nvSpPr>
            <xdr:cNvPr id="56321" name="Check Box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10</xdr:row>
          <xdr:rowOff>0</xdr:rowOff>
        </xdr:from>
        <xdr:to>
          <xdr:col>20</xdr:col>
          <xdr:colOff>219075</xdr:colOff>
          <xdr:row>11</xdr:row>
          <xdr:rowOff>0</xdr:rowOff>
        </xdr:to>
        <xdr:sp macro="" textlink="">
          <xdr:nvSpPr>
            <xdr:cNvPr id="56322" name="Check Box 2" hidden="1">
              <a:extLst>
                <a:ext uri="{63B3BB69-23CF-44E3-9099-C40C66FF867C}">
                  <a14:compatExt spid="_x0000_s56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177939</xdr:colOff>
      <xdr:row>17</xdr:row>
      <xdr:rowOff>1</xdr:rowOff>
    </xdr:from>
    <xdr:to>
      <xdr:col>25</xdr:col>
      <xdr:colOff>62802</xdr:colOff>
      <xdr:row>26</xdr:row>
      <xdr:rowOff>10467</xdr:rowOff>
    </xdr:to>
    <xdr:graphicFrame macro="">
      <xdr:nvGraphicFramePr>
        <xdr:cNvPr id="1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125605</xdr:colOff>
      <xdr:row>26</xdr:row>
      <xdr:rowOff>136071</xdr:rowOff>
    </xdr:from>
    <xdr:to>
      <xdr:col>25</xdr:col>
      <xdr:colOff>10468</xdr:colOff>
      <xdr:row>33</xdr:row>
      <xdr:rowOff>10465</xdr:rowOff>
    </xdr:to>
    <xdr:graphicFrame macro="">
      <xdr:nvGraphicFramePr>
        <xdr:cNvPr id="18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24</xdr:col>
      <xdr:colOff>722226</xdr:colOff>
      <xdr:row>45</xdr:row>
      <xdr:rowOff>73270</xdr:rowOff>
    </xdr:to>
    <xdr:graphicFrame macro="">
      <xdr:nvGraphicFramePr>
        <xdr:cNvPr id="20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0</xdr:colOff>
      <xdr:row>1</xdr:row>
      <xdr:rowOff>136072</xdr:rowOff>
    </xdr:from>
    <xdr:to>
      <xdr:col>32</xdr:col>
      <xdr:colOff>291924</xdr:colOff>
      <xdr:row>11</xdr:row>
      <xdr:rowOff>83736</xdr:rowOff>
    </xdr:to>
    <xdr:graphicFrame macro="">
      <xdr:nvGraphicFramePr>
        <xdr:cNvPr id="2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27</xdr:col>
      <xdr:colOff>136071</xdr:colOff>
      <xdr:row>19</xdr:row>
      <xdr:rowOff>690823</xdr:rowOff>
    </xdr:from>
    <xdr:to>
      <xdr:col>32</xdr:col>
      <xdr:colOff>427995</xdr:colOff>
      <xdr:row>28</xdr:row>
      <xdr:rowOff>451022</xdr:rowOff>
    </xdr:to>
    <xdr:graphicFrame macro="">
      <xdr:nvGraphicFramePr>
        <xdr:cNvPr id="2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27</xdr:col>
      <xdr:colOff>125604</xdr:colOff>
      <xdr:row>29</xdr:row>
      <xdr:rowOff>167472</xdr:rowOff>
    </xdr:from>
    <xdr:to>
      <xdr:col>32</xdr:col>
      <xdr:colOff>417528</xdr:colOff>
      <xdr:row>36</xdr:row>
      <xdr:rowOff>178880</xdr:rowOff>
    </xdr:to>
    <xdr:graphicFrame macro="">
      <xdr:nvGraphicFramePr>
        <xdr:cNvPr id="2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27</xdr:col>
      <xdr:colOff>125604</xdr:colOff>
      <xdr:row>37</xdr:row>
      <xdr:rowOff>188406</xdr:rowOff>
    </xdr:from>
    <xdr:to>
      <xdr:col>32</xdr:col>
      <xdr:colOff>417528</xdr:colOff>
      <xdr:row>50</xdr:row>
      <xdr:rowOff>105611</xdr:rowOff>
    </xdr:to>
    <xdr:graphicFrame macro="">
      <xdr:nvGraphicFramePr>
        <xdr:cNvPr id="2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27</xdr:col>
      <xdr:colOff>19050</xdr:colOff>
      <xdr:row>12</xdr:row>
      <xdr:rowOff>47625</xdr:rowOff>
    </xdr:from>
    <xdr:to>
      <xdr:col>32</xdr:col>
      <xdr:colOff>310974</xdr:colOff>
      <xdr:row>19</xdr:row>
      <xdr:rowOff>141827</xdr:rowOff>
    </xdr:to>
    <xdr:graphicFrame macro="">
      <xdr:nvGraphicFramePr>
        <xdr:cNvPr id="2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7</xdr:row>
      <xdr:rowOff>57150</xdr:rowOff>
    </xdr:from>
    <xdr:to>
      <xdr:col>19</xdr:col>
      <xdr:colOff>133350</xdr:colOff>
      <xdr:row>31</xdr:row>
      <xdr:rowOff>0</xdr:rowOff>
    </xdr:to>
    <xdr:sp macro="" textlink="">
      <xdr:nvSpPr>
        <xdr:cNvPr id="3" name="Rectángulo 2"/>
        <xdr:cNvSpPr/>
      </xdr:nvSpPr>
      <xdr:spPr>
        <a:xfrm>
          <a:off x="4305300" y="1390650"/>
          <a:ext cx="3305175" cy="45148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4</xdr:col>
      <xdr:colOff>47625</xdr:colOff>
      <xdr:row>6</xdr:row>
      <xdr:rowOff>180975</xdr:rowOff>
    </xdr:from>
    <xdr:to>
      <xdr:col>23</xdr:col>
      <xdr:colOff>211137</xdr:colOff>
      <xdr:row>49</xdr:row>
      <xdr:rowOff>119062</xdr:rowOff>
    </xdr:to>
    <xdr:sp macro="" textlink="">
      <xdr:nvSpPr>
        <xdr:cNvPr id="4" name="6 Rectángulo"/>
        <xdr:cNvSpPr/>
      </xdr:nvSpPr>
      <xdr:spPr>
        <a:xfrm>
          <a:off x="3095625" y="1323975"/>
          <a:ext cx="5773737" cy="8129587"/>
        </a:xfrm>
        <a:prstGeom prst="rect">
          <a:avLst/>
        </a:prstGeom>
        <a:solidFill>
          <a:srgbClr val="00B050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5</xdr:col>
      <xdr:colOff>19051</xdr:colOff>
      <xdr:row>14</xdr:row>
      <xdr:rowOff>57150</xdr:rowOff>
    </xdr:from>
    <xdr:to>
      <xdr:col>7</xdr:col>
      <xdr:colOff>152400</xdr:colOff>
      <xdr:row>16</xdr:row>
      <xdr:rowOff>152400</xdr:rowOff>
    </xdr:to>
    <xdr:grpSp>
      <xdr:nvGrpSpPr>
        <xdr:cNvPr id="5" name="55 Grupo"/>
        <xdr:cNvGrpSpPr>
          <a:grpSpLocks/>
        </xdr:cNvGrpSpPr>
      </xdr:nvGrpSpPr>
      <xdr:grpSpPr bwMode="auto">
        <a:xfrm>
          <a:off x="3676651" y="2990850"/>
          <a:ext cx="742949" cy="514350"/>
          <a:chOff x="4762500" y="5727700"/>
          <a:chExt cx="1117600" cy="800100"/>
        </a:xfrm>
      </xdr:grpSpPr>
      <xdr:sp macro="" textlink="">
        <xdr:nvSpPr>
          <xdr:cNvPr id="6" name="56 Rectángulo redondeado"/>
          <xdr:cNvSpPr/>
        </xdr:nvSpPr>
        <xdr:spPr>
          <a:xfrm>
            <a:off x="5023273" y="5927725"/>
            <a:ext cx="605367" cy="381000"/>
          </a:xfrm>
          <a:prstGeom prst="roundRect">
            <a:avLst/>
          </a:prstGeom>
          <a:pattFill prst="pct5">
            <a:fgClr>
              <a:schemeClr val="accent1"/>
            </a:fgClr>
            <a:bgClr>
              <a:srgbClr val="C00000"/>
            </a:bgClr>
          </a:patt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7" name="57 Rectángulo"/>
          <xdr:cNvSpPr/>
        </xdr:nvSpPr>
        <xdr:spPr>
          <a:xfrm>
            <a:off x="5703147" y="6003925"/>
            <a:ext cx="176953" cy="2476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8" name="58 Rectángulo"/>
          <xdr:cNvSpPr/>
        </xdr:nvSpPr>
        <xdr:spPr>
          <a:xfrm>
            <a:off x="4762500" y="6003925"/>
            <a:ext cx="176953" cy="2476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9" name="59 Rectángulo"/>
          <xdr:cNvSpPr/>
        </xdr:nvSpPr>
        <xdr:spPr>
          <a:xfrm>
            <a:off x="5190913" y="6375400"/>
            <a:ext cx="270087" cy="1524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10" name="60 Rectángulo"/>
          <xdr:cNvSpPr/>
        </xdr:nvSpPr>
        <xdr:spPr>
          <a:xfrm>
            <a:off x="5181600" y="5727700"/>
            <a:ext cx="270087" cy="1524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</xdr:grpSp>
    <xdr:clientData/>
  </xdr:twoCellAnchor>
  <xdr:twoCellAnchor>
    <xdr:from>
      <xdr:col>4</xdr:col>
      <xdr:colOff>111125</xdr:colOff>
      <xdr:row>7</xdr:row>
      <xdr:rowOff>85724</xdr:rowOff>
    </xdr:from>
    <xdr:to>
      <xdr:col>6</xdr:col>
      <xdr:colOff>295275</xdr:colOff>
      <xdr:row>11</xdr:row>
      <xdr:rowOff>52387</xdr:rowOff>
    </xdr:to>
    <xdr:sp macro="" textlink="">
      <xdr:nvSpPr>
        <xdr:cNvPr id="11" name="130 Rectángulo"/>
        <xdr:cNvSpPr/>
      </xdr:nvSpPr>
      <xdr:spPr>
        <a:xfrm>
          <a:off x="3159125" y="1419224"/>
          <a:ext cx="774700" cy="72866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s-PE" sz="1600">
              <a:solidFill>
                <a:srgbClr val="00B050"/>
              </a:solidFill>
            </a:rPr>
            <a:t>BAÑO</a:t>
          </a:r>
        </a:p>
        <a:p>
          <a:r>
            <a:rPr lang="es-PE" sz="1200">
              <a:solidFill>
                <a:srgbClr val="00B050"/>
              </a:solidFill>
            </a:rPr>
            <a:t>MUJERES</a:t>
          </a:r>
        </a:p>
      </xdr:txBody>
    </xdr:sp>
    <xdr:clientData/>
  </xdr:twoCellAnchor>
  <xdr:twoCellAnchor>
    <xdr:from>
      <xdr:col>8</xdr:col>
      <xdr:colOff>285750</xdr:colOff>
      <xdr:row>12</xdr:row>
      <xdr:rowOff>114300</xdr:rowOff>
    </xdr:from>
    <xdr:to>
      <xdr:col>19</xdr:col>
      <xdr:colOff>9525</xdr:colOff>
      <xdr:row>15</xdr:row>
      <xdr:rowOff>95250</xdr:rowOff>
    </xdr:to>
    <xdr:grpSp>
      <xdr:nvGrpSpPr>
        <xdr:cNvPr id="12" name="8 Grupo"/>
        <xdr:cNvGrpSpPr>
          <a:grpSpLocks/>
        </xdr:cNvGrpSpPr>
      </xdr:nvGrpSpPr>
      <xdr:grpSpPr bwMode="auto">
        <a:xfrm>
          <a:off x="4857750" y="2628900"/>
          <a:ext cx="3076575" cy="609600"/>
          <a:chOff x="2981325" y="657225"/>
          <a:chExt cx="2971800" cy="552450"/>
        </a:xfrm>
      </xdr:grpSpPr>
      <xdr:sp macro="" textlink="">
        <xdr:nvSpPr>
          <xdr:cNvPr id="13" name="17 Rectángulo"/>
          <xdr:cNvSpPr/>
        </xdr:nvSpPr>
        <xdr:spPr bwMode="auto">
          <a:xfrm>
            <a:off x="2981325" y="657225"/>
            <a:ext cx="2971800" cy="5524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14" name="5 Elipse"/>
          <xdr:cNvSpPr/>
        </xdr:nvSpPr>
        <xdr:spPr bwMode="auto">
          <a:xfrm>
            <a:off x="5648325" y="838200"/>
            <a:ext cx="219075" cy="200025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15" name="125 Elipse"/>
          <xdr:cNvSpPr/>
        </xdr:nvSpPr>
        <xdr:spPr bwMode="auto">
          <a:xfrm>
            <a:off x="3048000" y="828675"/>
            <a:ext cx="219075" cy="20955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16" name="119 Rectángulo"/>
          <xdr:cNvSpPr/>
        </xdr:nvSpPr>
        <xdr:spPr bwMode="auto">
          <a:xfrm>
            <a:off x="3905250" y="762000"/>
            <a:ext cx="104775" cy="3619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17" name="4 Rectángulo"/>
          <xdr:cNvSpPr/>
        </xdr:nvSpPr>
        <xdr:spPr bwMode="auto">
          <a:xfrm>
            <a:off x="4057650" y="771525"/>
            <a:ext cx="104775" cy="3619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18" name="116 Rectángulo"/>
          <xdr:cNvSpPr/>
        </xdr:nvSpPr>
        <xdr:spPr bwMode="auto">
          <a:xfrm>
            <a:off x="4210050" y="771525"/>
            <a:ext cx="104775" cy="35242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19" name="109 Rectángulo"/>
          <xdr:cNvSpPr/>
        </xdr:nvSpPr>
        <xdr:spPr bwMode="auto">
          <a:xfrm>
            <a:off x="4362450" y="762000"/>
            <a:ext cx="95250" cy="3619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20" name="111 Rectángulo"/>
          <xdr:cNvSpPr/>
        </xdr:nvSpPr>
        <xdr:spPr bwMode="auto">
          <a:xfrm>
            <a:off x="4495800" y="762000"/>
            <a:ext cx="104775" cy="3619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21" name="112 Rectángulo"/>
          <xdr:cNvSpPr/>
        </xdr:nvSpPr>
        <xdr:spPr bwMode="auto">
          <a:xfrm>
            <a:off x="4638675" y="762000"/>
            <a:ext cx="104775" cy="3619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22" name="113 Rectángulo"/>
          <xdr:cNvSpPr/>
        </xdr:nvSpPr>
        <xdr:spPr bwMode="auto">
          <a:xfrm>
            <a:off x="4781550" y="752475"/>
            <a:ext cx="95250" cy="3619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23" name="114 Rectángulo"/>
          <xdr:cNvSpPr/>
        </xdr:nvSpPr>
        <xdr:spPr bwMode="auto">
          <a:xfrm>
            <a:off x="4914900" y="762000"/>
            <a:ext cx="95250" cy="3619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24" name="2008644 Rectángulo"/>
          <xdr:cNvSpPr/>
        </xdr:nvSpPr>
        <xdr:spPr bwMode="auto">
          <a:xfrm>
            <a:off x="3314700" y="771525"/>
            <a:ext cx="542925" cy="35242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25" name="131 Rectángulo"/>
          <xdr:cNvSpPr/>
        </xdr:nvSpPr>
        <xdr:spPr bwMode="auto">
          <a:xfrm>
            <a:off x="5057775" y="771525"/>
            <a:ext cx="542925" cy="35242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</xdr:grpSp>
    <xdr:clientData/>
  </xdr:twoCellAnchor>
  <xdr:twoCellAnchor>
    <xdr:from>
      <xdr:col>20</xdr:col>
      <xdr:colOff>195262</xdr:colOff>
      <xdr:row>7</xdr:row>
      <xdr:rowOff>76201</xdr:rowOff>
    </xdr:from>
    <xdr:to>
      <xdr:col>23</xdr:col>
      <xdr:colOff>74612</xdr:colOff>
      <xdr:row>11</xdr:row>
      <xdr:rowOff>38100</xdr:rowOff>
    </xdr:to>
    <xdr:sp macro="" textlink="">
      <xdr:nvSpPr>
        <xdr:cNvPr id="26" name="124 Rectángulo"/>
        <xdr:cNvSpPr/>
      </xdr:nvSpPr>
      <xdr:spPr>
        <a:xfrm>
          <a:off x="7967662" y="1409701"/>
          <a:ext cx="765175" cy="72389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s-PE" sz="1600">
              <a:solidFill>
                <a:srgbClr val="00B050"/>
              </a:solidFill>
            </a:rPr>
            <a:t>BAÑO</a:t>
          </a:r>
        </a:p>
        <a:p>
          <a:r>
            <a:rPr lang="es-PE" sz="1100">
              <a:solidFill>
                <a:srgbClr val="00B050"/>
              </a:solidFill>
            </a:rPr>
            <a:t>HOMBRES</a:t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51</xdr:row>
      <xdr:rowOff>0</xdr:rowOff>
    </xdr:to>
    <xdr:cxnSp macro="">
      <xdr:nvCxnSpPr>
        <xdr:cNvPr id="27" name="10 Conector recto de flecha"/>
        <xdr:cNvCxnSpPr/>
      </xdr:nvCxnSpPr>
      <xdr:spPr>
        <a:xfrm>
          <a:off x="9544050" y="5524500"/>
          <a:ext cx="0" cy="419100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7</xdr:row>
      <xdr:rowOff>38100</xdr:rowOff>
    </xdr:from>
    <xdr:to>
      <xdr:col>26</xdr:col>
      <xdr:colOff>19050</xdr:colOff>
      <xdr:row>22</xdr:row>
      <xdr:rowOff>0</xdr:rowOff>
    </xdr:to>
    <xdr:cxnSp macro="">
      <xdr:nvCxnSpPr>
        <xdr:cNvPr id="28" name="129 Conector recto de flecha"/>
        <xdr:cNvCxnSpPr/>
      </xdr:nvCxnSpPr>
      <xdr:spPr>
        <a:xfrm flipV="1">
          <a:off x="9544050" y="1371600"/>
          <a:ext cx="19050" cy="281940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4</xdr:row>
      <xdr:rowOff>19050</xdr:rowOff>
    </xdr:from>
    <xdr:to>
      <xdr:col>24</xdr:col>
      <xdr:colOff>19050</xdr:colOff>
      <xdr:row>4</xdr:row>
      <xdr:rowOff>38100</xdr:rowOff>
    </xdr:to>
    <xdr:cxnSp macro="">
      <xdr:nvCxnSpPr>
        <xdr:cNvPr id="29" name="133 Conector recto de flecha"/>
        <xdr:cNvCxnSpPr/>
      </xdr:nvCxnSpPr>
      <xdr:spPr>
        <a:xfrm flipV="1">
          <a:off x="6610350" y="781050"/>
          <a:ext cx="2362200" cy="1905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</xdr:row>
      <xdr:rowOff>171450</xdr:rowOff>
    </xdr:from>
    <xdr:to>
      <xdr:col>11</xdr:col>
      <xdr:colOff>266700</xdr:colOff>
      <xdr:row>4</xdr:row>
      <xdr:rowOff>19050</xdr:rowOff>
    </xdr:to>
    <xdr:cxnSp macro="">
      <xdr:nvCxnSpPr>
        <xdr:cNvPr id="30" name="134 Conector recto de flecha"/>
        <xdr:cNvCxnSpPr/>
      </xdr:nvCxnSpPr>
      <xdr:spPr>
        <a:xfrm flipH="1" flipV="1">
          <a:off x="3048000" y="742950"/>
          <a:ext cx="2333625" cy="3810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133350</xdr:colOff>
      <xdr:row>7</xdr:row>
      <xdr:rowOff>95250</xdr:rowOff>
    </xdr:from>
    <xdr:to>
      <xdr:col>16</xdr:col>
      <xdr:colOff>247650</xdr:colOff>
      <xdr:row>10</xdr:row>
      <xdr:rowOff>19050</xdr:rowOff>
    </xdr:to>
    <xdr:sp macro="" textlink="">
      <xdr:nvSpPr>
        <xdr:cNvPr id="31" name="Operación manual 30"/>
        <xdr:cNvSpPr/>
      </xdr:nvSpPr>
      <xdr:spPr>
        <a:xfrm>
          <a:off x="5248275" y="1428750"/>
          <a:ext cx="1590675" cy="495300"/>
        </a:xfrm>
        <a:prstGeom prst="flowChartManualOperat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200" b="1">
              <a:solidFill>
                <a:sysClr val="windowText" lastClr="000000"/>
              </a:solidFill>
            </a:rPr>
            <a:t>CABINA D.J</a:t>
          </a:r>
        </a:p>
      </xdr:txBody>
    </xdr:sp>
    <xdr:clientData/>
  </xdr:twoCellAnchor>
  <xdr:twoCellAnchor>
    <xdr:from>
      <xdr:col>11</xdr:col>
      <xdr:colOff>19050</xdr:colOff>
      <xdr:row>10</xdr:row>
      <xdr:rowOff>95250</xdr:rowOff>
    </xdr:from>
    <xdr:to>
      <xdr:col>16</xdr:col>
      <xdr:colOff>266700</xdr:colOff>
      <xdr:row>12</xdr:row>
      <xdr:rowOff>133350</xdr:rowOff>
    </xdr:to>
    <xdr:sp macro="" textlink="">
      <xdr:nvSpPr>
        <xdr:cNvPr id="32" name="Rectángulo 31"/>
        <xdr:cNvSpPr/>
      </xdr:nvSpPr>
      <xdr:spPr>
        <a:xfrm>
          <a:off x="5133975" y="2000250"/>
          <a:ext cx="1724025" cy="419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400" b="1">
              <a:solidFill>
                <a:sysClr val="windowText" lastClr="000000"/>
              </a:solidFill>
            </a:rPr>
            <a:t>ESCENARIO</a:t>
          </a:r>
        </a:p>
      </xdr:txBody>
    </xdr:sp>
    <xdr:clientData/>
  </xdr:twoCellAnchor>
  <xdr:twoCellAnchor>
    <xdr:from>
      <xdr:col>5</xdr:col>
      <xdr:colOff>44450</xdr:colOff>
      <xdr:row>17</xdr:row>
      <xdr:rowOff>185737</xdr:rowOff>
    </xdr:from>
    <xdr:to>
      <xdr:col>7</xdr:col>
      <xdr:colOff>177799</xdr:colOff>
      <xdr:row>20</xdr:row>
      <xdr:rowOff>90487</xdr:rowOff>
    </xdr:to>
    <xdr:grpSp>
      <xdr:nvGrpSpPr>
        <xdr:cNvPr id="33" name="55 Grupo"/>
        <xdr:cNvGrpSpPr>
          <a:grpSpLocks/>
        </xdr:cNvGrpSpPr>
      </xdr:nvGrpSpPr>
      <xdr:grpSpPr bwMode="auto">
        <a:xfrm>
          <a:off x="3702050" y="3748087"/>
          <a:ext cx="742949" cy="533400"/>
          <a:chOff x="4762500" y="5727700"/>
          <a:chExt cx="1117600" cy="800100"/>
        </a:xfrm>
      </xdr:grpSpPr>
      <xdr:sp macro="" textlink="">
        <xdr:nvSpPr>
          <xdr:cNvPr id="34" name="56 Rectángulo redondeado"/>
          <xdr:cNvSpPr/>
        </xdr:nvSpPr>
        <xdr:spPr>
          <a:xfrm>
            <a:off x="5023273" y="5927725"/>
            <a:ext cx="605367" cy="381000"/>
          </a:xfrm>
          <a:prstGeom prst="roundRect">
            <a:avLst/>
          </a:prstGeom>
          <a:pattFill prst="pct5">
            <a:fgClr>
              <a:schemeClr val="accent1"/>
            </a:fgClr>
            <a:bgClr>
              <a:srgbClr val="C00000"/>
            </a:bgClr>
          </a:patt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35" name="57 Rectángulo"/>
          <xdr:cNvSpPr/>
        </xdr:nvSpPr>
        <xdr:spPr>
          <a:xfrm>
            <a:off x="5703147" y="6003925"/>
            <a:ext cx="176953" cy="2476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36" name="58 Rectángulo"/>
          <xdr:cNvSpPr/>
        </xdr:nvSpPr>
        <xdr:spPr>
          <a:xfrm>
            <a:off x="4762500" y="6003925"/>
            <a:ext cx="176953" cy="2476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37" name="59 Rectángulo"/>
          <xdr:cNvSpPr/>
        </xdr:nvSpPr>
        <xdr:spPr>
          <a:xfrm>
            <a:off x="5190913" y="6375400"/>
            <a:ext cx="270087" cy="1524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38" name="60 Rectángulo"/>
          <xdr:cNvSpPr/>
        </xdr:nvSpPr>
        <xdr:spPr>
          <a:xfrm>
            <a:off x="5181600" y="5727700"/>
            <a:ext cx="270087" cy="1524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</xdr:grpSp>
    <xdr:clientData/>
  </xdr:twoCellAnchor>
  <xdr:twoCellAnchor>
    <xdr:from>
      <xdr:col>5</xdr:col>
      <xdr:colOff>63500</xdr:colOff>
      <xdr:row>21</xdr:row>
      <xdr:rowOff>71437</xdr:rowOff>
    </xdr:from>
    <xdr:to>
      <xdr:col>7</xdr:col>
      <xdr:colOff>196849</xdr:colOff>
      <xdr:row>23</xdr:row>
      <xdr:rowOff>166687</xdr:rowOff>
    </xdr:to>
    <xdr:grpSp>
      <xdr:nvGrpSpPr>
        <xdr:cNvPr id="39" name="55 Grupo"/>
        <xdr:cNvGrpSpPr>
          <a:grpSpLocks/>
        </xdr:cNvGrpSpPr>
      </xdr:nvGrpSpPr>
      <xdr:grpSpPr bwMode="auto">
        <a:xfrm>
          <a:off x="3721100" y="4471987"/>
          <a:ext cx="742949" cy="514350"/>
          <a:chOff x="4762500" y="5727700"/>
          <a:chExt cx="1117600" cy="800100"/>
        </a:xfrm>
      </xdr:grpSpPr>
      <xdr:sp macro="" textlink="">
        <xdr:nvSpPr>
          <xdr:cNvPr id="40" name="56 Rectángulo redondeado"/>
          <xdr:cNvSpPr/>
        </xdr:nvSpPr>
        <xdr:spPr>
          <a:xfrm>
            <a:off x="5023273" y="5927725"/>
            <a:ext cx="605367" cy="381000"/>
          </a:xfrm>
          <a:prstGeom prst="roundRect">
            <a:avLst/>
          </a:prstGeom>
          <a:pattFill prst="pct5">
            <a:fgClr>
              <a:schemeClr val="accent1"/>
            </a:fgClr>
            <a:bgClr>
              <a:srgbClr val="C00000"/>
            </a:bgClr>
          </a:patt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41" name="57 Rectángulo"/>
          <xdr:cNvSpPr/>
        </xdr:nvSpPr>
        <xdr:spPr>
          <a:xfrm>
            <a:off x="5703147" y="6003925"/>
            <a:ext cx="176953" cy="2476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42" name="58 Rectángulo"/>
          <xdr:cNvSpPr/>
        </xdr:nvSpPr>
        <xdr:spPr>
          <a:xfrm>
            <a:off x="4762500" y="6003925"/>
            <a:ext cx="176953" cy="2476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43" name="59 Rectángulo"/>
          <xdr:cNvSpPr/>
        </xdr:nvSpPr>
        <xdr:spPr>
          <a:xfrm>
            <a:off x="5190913" y="6375400"/>
            <a:ext cx="270087" cy="1524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44" name="60 Rectángulo"/>
          <xdr:cNvSpPr/>
        </xdr:nvSpPr>
        <xdr:spPr>
          <a:xfrm>
            <a:off x="5181600" y="5727700"/>
            <a:ext cx="270087" cy="1524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</xdr:grpSp>
    <xdr:clientData/>
  </xdr:twoCellAnchor>
  <xdr:twoCellAnchor>
    <xdr:from>
      <xdr:col>5</xdr:col>
      <xdr:colOff>82550</xdr:colOff>
      <xdr:row>24</xdr:row>
      <xdr:rowOff>166687</xdr:rowOff>
    </xdr:from>
    <xdr:to>
      <xdr:col>7</xdr:col>
      <xdr:colOff>215899</xdr:colOff>
      <xdr:row>27</xdr:row>
      <xdr:rowOff>71437</xdr:rowOff>
    </xdr:to>
    <xdr:grpSp>
      <xdr:nvGrpSpPr>
        <xdr:cNvPr id="45" name="55 Grupo"/>
        <xdr:cNvGrpSpPr>
          <a:grpSpLocks/>
        </xdr:cNvGrpSpPr>
      </xdr:nvGrpSpPr>
      <xdr:grpSpPr bwMode="auto">
        <a:xfrm>
          <a:off x="3740150" y="5195887"/>
          <a:ext cx="742949" cy="533400"/>
          <a:chOff x="4762500" y="5727700"/>
          <a:chExt cx="1117600" cy="800100"/>
        </a:xfrm>
      </xdr:grpSpPr>
      <xdr:sp macro="" textlink="">
        <xdr:nvSpPr>
          <xdr:cNvPr id="46" name="56 Rectángulo redondeado"/>
          <xdr:cNvSpPr/>
        </xdr:nvSpPr>
        <xdr:spPr>
          <a:xfrm>
            <a:off x="5023273" y="5927725"/>
            <a:ext cx="605367" cy="381000"/>
          </a:xfrm>
          <a:prstGeom prst="roundRect">
            <a:avLst/>
          </a:prstGeom>
          <a:pattFill prst="pct5">
            <a:fgClr>
              <a:schemeClr val="accent1"/>
            </a:fgClr>
            <a:bgClr>
              <a:srgbClr val="C00000"/>
            </a:bgClr>
          </a:patt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47" name="57 Rectángulo"/>
          <xdr:cNvSpPr/>
        </xdr:nvSpPr>
        <xdr:spPr>
          <a:xfrm>
            <a:off x="5703147" y="6003925"/>
            <a:ext cx="176953" cy="2476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48" name="58 Rectángulo"/>
          <xdr:cNvSpPr/>
        </xdr:nvSpPr>
        <xdr:spPr>
          <a:xfrm>
            <a:off x="4762500" y="6003925"/>
            <a:ext cx="176953" cy="2476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49" name="59 Rectángulo"/>
          <xdr:cNvSpPr/>
        </xdr:nvSpPr>
        <xdr:spPr>
          <a:xfrm>
            <a:off x="5190913" y="6375400"/>
            <a:ext cx="270087" cy="1524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50" name="60 Rectángulo"/>
          <xdr:cNvSpPr/>
        </xdr:nvSpPr>
        <xdr:spPr>
          <a:xfrm>
            <a:off x="5181600" y="5727700"/>
            <a:ext cx="270087" cy="1524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</xdr:grpSp>
    <xdr:clientData/>
  </xdr:twoCellAnchor>
  <xdr:twoCellAnchor>
    <xdr:from>
      <xdr:col>5</xdr:col>
      <xdr:colOff>82550</xdr:colOff>
      <xdr:row>28</xdr:row>
      <xdr:rowOff>33337</xdr:rowOff>
    </xdr:from>
    <xdr:to>
      <xdr:col>7</xdr:col>
      <xdr:colOff>215899</xdr:colOff>
      <xdr:row>30</xdr:row>
      <xdr:rowOff>128587</xdr:rowOff>
    </xdr:to>
    <xdr:grpSp>
      <xdr:nvGrpSpPr>
        <xdr:cNvPr id="51" name="55 Grupo"/>
        <xdr:cNvGrpSpPr>
          <a:grpSpLocks/>
        </xdr:cNvGrpSpPr>
      </xdr:nvGrpSpPr>
      <xdr:grpSpPr bwMode="auto">
        <a:xfrm>
          <a:off x="3740150" y="5900737"/>
          <a:ext cx="742949" cy="514350"/>
          <a:chOff x="4762500" y="5727700"/>
          <a:chExt cx="1117600" cy="800100"/>
        </a:xfrm>
      </xdr:grpSpPr>
      <xdr:sp macro="" textlink="">
        <xdr:nvSpPr>
          <xdr:cNvPr id="52" name="56 Rectángulo redondeado"/>
          <xdr:cNvSpPr/>
        </xdr:nvSpPr>
        <xdr:spPr>
          <a:xfrm>
            <a:off x="5023273" y="5927725"/>
            <a:ext cx="605367" cy="381000"/>
          </a:xfrm>
          <a:prstGeom prst="roundRect">
            <a:avLst/>
          </a:prstGeom>
          <a:pattFill prst="pct5">
            <a:fgClr>
              <a:schemeClr val="accent1"/>
            </a:fgClr>
            <a:bgClr>
              <a:srgbClr val="C00000"/>
            </a:bgClr>
          </a:patt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53" name="57 Rectángulo"/>
          <xdr:cNvSpPr/>
        </xdr:nvSpPr>
        <xdr:spPr>
          <a:xfrm>
            <a:off x="5703147" y="6003925"/>
            <a:ext cx="176953" cy="2476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54" name="58 Rectángulo"/>
          <xdr:cNvSpPr/>
        </xdr:nvSpPr>
        <xdr:spPr>
          <a:xfrm>
            <a:off x="4762500" y="6003925"/>
            <a:ext cx="176953" cy="2476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55" name="59 Rectángulo"/>
          <xdr:cNvSpPr/>
        </xdr:nvSpPr>
        <xdr:spPr>
          <a:xfrm>
            <a:off x="5190913" y="6375400"/>
            <a:ext cx="270087" cy="1524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56" name="60 Rectángulo"/>
          <xdr:cNvSpPr/>
        </xdr:nvSpPr>
        <xdr:spPr>
          <a:xfrm>
            <a:off x="5181600" y="5727700"/>
            <a:ext cx="270087" cy="1524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</xdr:grpSp>
    <xdr:clientData/>
  </xdr:twoCellAnchor>
  <xdr:twoCellAnchor>
    <xdr:from>
      <xdr:col>5</xdr:col>
      <xdr:colOff>139700</xdr:colOff>
      <xdr:row>32</xdr:row>
      <xdr:rowOff>71437</xdr:rowOff>
    </xdr:from>
    <xdr:to>
      <xdr:col>7</xdr:col>
      <xdr:colOff>273049</xdr:colOff>
      <xdr:row>34</xdr:row>
      <xdr:rowOff>166687</xdr:rowOff>
    </xdr:to>
    <xdr:grpSp>
      <xdr:nvGrpSpPr>
        <xdr:cNvPr id="57" name="55 Grupo"/>
        <xdr:cNvGrpSpPr>
          <a:grpSpLocks/>
        </xdr:cNvGrpSpPr>
      </xdr:nvGrpSpPr>
      <xdr:grpSpPr bwMode="auto">
        <a:xfrm>
          <a:off x="3797300" y="6777037"/>
          <a:ext cx="742949" cy="514350"/>
          <a:chOff x="4762500" y="5727700"/>
          <a:chExt cx="1117600" cy="800100"/>
        </a:xfrm>
      </xdr:grpSpPr>
      <xdr:sp macro="" textlink="">
        <xdr:nvSpPr>
          <xdr:cNvPr id="58" name="56 Rectángulo redondeado"/>
          <xdr:cNvSpPr/>
        </xdr:nvSpPr>
        <xdr:spPr>
          <a:xfrm>
            <a:off x="5023273" y="5927725"/>
            <a:ext cx="605367" cy="381000"/>
          </a:xfrm>
          <a:prstGeom prst="roundRect">
            <a:avLst/>
          </a:prstGeom>
          <a:pattFill prst="pct5">
            <a:fgClr>
              <a:schemeClr val="accent1"/>
            </a:fgClr>
            <a:bgClr>
              <a:srgbClr val="C00000"/>
            </a:bgClr>
          </a:patt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59" name="57 Rectángulo"/>
          <xdr:cNvSpPr/>
        </xdr:nvSpPr>
        <xdr:spPr>
          <a:xfrm>
            <a:off x="5703147" y="6003925"/>
            <a:ext cx="176953" cy="2476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60" name="58 Rectángulo"/>
          <xdr:cNvSpPr/>
        </xdr:nvSpPr>
        <xdr:spPr>
          <a:xfrm>
            <a:off x="4762500" y="6003925"/>
            <a:ext cx="176953" cy="2476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61" name="59 Rectángulo"/>
          <xdr:cNvSpPr/>
        </xdr:nvSpPr>
        <xdr:spPr>
          <a:xfrm>
            <a:off x="5190913" y="6375400"/>
            <a:ext cx="270087" cy="1524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62" name="60 Rectángulo"/>
          <xdr:cNvSpPr/>
        </xdr:nvSpPr>
        <xdr:spPr>
          <a:xfrm>
            <a:off x="5181600" y="5727700"/>
            <a:ext cx="270087" cy="1524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</xdr:grpSp>
    <xdr:clientData/>
  </xdr:twoCellAnchor>
  <xdr:twoCellAnchor>
    <xdr:from>
      <xdr:col>5</xdr:col>
      <xdr:colOff>158750</xdr:colOff>
      <xdr:row>36</xdr:row>
      <xdr:rowOff>52387</xdr:rowOff>
    </xdr:from>
    <xdr:to>
      <xdr:col>7</xdr:col>
      <xdr:colOff>292099</xdr:colOff>
      <xdr:row>38</xdr:row>
      <xdr:rowOff>147637</xdr:rowOff>
    </xdr:to>
    <xdr:grpSp>
      <xdr:nvGrpSpPr>
        <xdr:cNvPr id="63" name="55 Grupo"/>
        <xdr:cNvGrpSpPr>
          <a:grpSpLocks/>
        </xdr:cNvGrpSpPr>
      </xdr:nvGrpSpPr>
      <xdr:grpSpPr bwMode="auto">
        <a:xfrm>
          <a:off x="3816350" y="7596187"/>
          <a:ext cx="742949" cy="514350"/>
          <a:chOff x="4762500" y="5727700"/>
          <a:chExt cx="1117600" cy="800100"/>
        </a:xfrm>
      </xdr:grpSpPr>
      <xdr:sp macro="" textlink="">
        <xdr:nvSpPr>
          <xdr:cNvPr id="64" name="56 Rectángulo redondeado"/>
          <xdr:cNvSpPr/>
        </xdr:nvSpPr>
        <xdr:spPr>
          <a:xfrm>
            <a:off x="5023273" y="5927725"/>
            <a:ext cx="605367" cy="381000"/>
          </a:xfrm>
          <a:prstGeom prst="roundRect">
            <a:avLst/>
          </a:prstGeom>
          <a:pattFill prst="pct5">
            <a:fgClr>
              <a:schemeClr val="accent1"/>
            </a:fgClr>
            <a:bgClr>
              <a:srgbClr val="C00000"/>
            </a:bgClr>
          </a:patt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65" name="57 Rectángulo"/>
          <xdr:cNvSpPr/>
        </xdr:nvSpPr>
        <xdr:spPr>
          <a:xfrm>
            <a:off x="5703147" y="6003925"/>
            <a:ext cx="176953" cy="2476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66" name="58 Rectángulo"/>
          <xdr:cNvSpPr/>
        </xdr:nvSpPr>
        <xdr:spPr>
          <a:xfrm>
            <a:off x="4762500" y="6003925"/>
            <a:ext cx="176953" cy="2476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67" name="59 Rectángulo"/>
          <xdr:cNvSpPr/>
        </xdr:nvSpPr>
        <xdr:spPr>
          <a:xfrm>
            <a:off x="5190913" y="6375400"/>
            <a:ext cx="270087" cy="1524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68" name="60 Rectángulo"/>
          <xdr:cNvSpPr/>
        </xdr:nvSpPr>
        <xdr:spPr>
          <a:xfrm>
            <a:off x="5181600" y="5727700"/>
            <a:ext cx="270087" cy="1524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</xdr:grpSp>
    <xdr:clientData/>
  </xdr:twoCellAnchor>
  <xdr:twoCellAnchor>
    <xdr:from>
      <xdr:col>20</xdr:col>
      <xdr:colOff>6350</xdr:colOff>
      <xdr:row>39</xdr:row>
      <xdr:rowOff>33337</xdr:rowOff>
    </xdr:from>
    <xdr:to>
      <xdr:col>22</xdr:col>
      <xdr:colOff>120649</xdr:colOff>
      <xdr:row>42</xdr:row>
      <xdr:rowOff>47625</xdr:rowOff>
    </xdr:to>
    <xdr:grpSp>
      <xdr:nvGrpSpPr>
        <xdr:cNvPr id="69" name="55 Grupo"/>
        <xdr:cNvGrpSpPr>
          <a:grpSpLocks/>
        </xdr:cNvGrpSpPr>
      </xdr:nvGrpSpPr>
      <xdr:grpSpPr bwMode="auto">
        <a:xfrm>
          <a:off x="8235950" y="8205787"/>
          <a:ext cx="723899" cy="642938"/>
          <a:chOff x="4762500" y="5727700"/>
          <a:chExt cx="1117600" cy="800100"/>
        </a:xfrm>
      </xdr:grpSpPr>
      <xdr:sp macro="" textlink="">
        <xdr:nvSpPr>
          <xdr:cNvPr id="70" name="56 Rectángulo redondeado"/>
          <xdr:cNvSpPr/>
        </xdr:nvSpPr>
        <xdr:spPr>
          <a:xfrm>
            <a:off x="5023273" y="5927725"/>
            <a:ext cx="605367" cy="381000"/>
          </a:xfrm>
          <a:prstGeom prst="roundRect">
            <a:avLst/>
          </a:prstGeom>
          <a:pattFill prst="pct5">
            <a:fgClr>
              <a:schemeClr val="accent1"/>
            </a:fgClr>
            <a:bgClr>
              <a:srgbClr val="C00000"/>
            </a:bgClr>
          </a:patt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71" name="57 Rectángulo"/>
          <xdr:cNvSpPr/>
        </xdr:nvSpPr>
        <xdr:spPr>
          <a:xfrm>
            <a:off x="5703147" y="6003925"/>
            <a:ext cx="176953" cy="2476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72" name="58 Rectángulo"/>
          <xdr:cNvSpPr/>
        </xdr:nvSpPr>
        <xdr:spPr>
          <a:xfrm>
            <a:off x="4762500" y="6003925"/>
            <a:ext cx="176953" cy="2476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73" name="59 Rectángulo"/>
          <xdr:cNvSpPr/>
        </xdr:nvSpPr>
        <xdr:spPr>
          <a:xfrm>
            <a:off x="5190913" y="6375400"/>
            <a:ext cx="270087" cy="1524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74" name="60 Rectángulo"/>
          <xdr:cNvSpPr/>
        </xdr:nvSpPr>
        <xdr:spPr>
          <a:xfrm>
            <a:off x="5181600" y="5727700"/>
            <a:ext cx="270087" cy="1524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</xdr:grpSp>
    <xdr:clientData/>
  </xdr:twoCellAnchor>
  <xdr:twoCellAnchor>
    <xdr:from>
      <xdr:col>20</xdr:col>
      <xdr:colOff>25400</xdr:colOff>
      <xdr:row>35</xdr:row>
      <xdr:rowOff>90487</xdr:rowOff>
    </xdr:from>
    <xdr:to>
      <xdr:col>22</xdr:col>
      <xdr:colOff>158749</xdr:colOff>
      <xdr:row>37</xdr:row>
      <xdr:rowOff>185737</xdr:rowOff>
    </xdr:to>
    <xdr:grpSp>
      <xdr:nvGrpSpPr>
        <xdr:cNvPr id="75" name="55 Grupo"/>
        <xdr:cNvGrpSpPr>
          <a:grpSpLocks/>
        </xdr:cNvGrpSpPr>
      </xdr:nvGrpSpPr>
      <xdr:grpSpPr bwMode="auto">
        <a:xfrm>
          <a:off x="8255000" y="7424737"/>
          <a:ext cx="742949" cy="514350"/>
          <a:chOff x="4762500" y="5727700"/>
          <a:chExt cx="1117600" cy="800100"/>
        </a:xfrm>
      </xdr:grpSpPr>
      <xdr:sp macro="" textlink="">
        <xdr:nvSpPr>
          <xdr:cNvPr id="76" name="56 Rectángulo redondeado"/>
          <xdr:cNvSpPr/>
        </xdr:nvSpPr>
        <xdr:spPr>
          <a:xfrm>
            <a:off x="5023273" y="5927725"/>
            <a:ext cx="605367" cy="381000"/>
          </a:xfrm>
          <a:prstGeom prst="roundRect">
            <a:avLst/>
          </a:prstGeom>
          <a:pattFill prst="pct5">
            <a:fgClr>
              <a:schemeClr val="accent1"/>
            </a:fgClr>
            <a:bgClr>
              <a:srgbClr val="C00000"/>
            </a:bgClr>
          </a:patt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77" name="57 Rectángulo"/>
          <xdr:cNvSpPr/>
        </xdr:nvSpPr>
        <xdr:spPr>
          <a:xfrm>
            <a:off x="5703147" y="6003925"/>
            <a:ext cx="176953" cy="2476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78" name="58 Rectángulo"/>
          <xdr:cNvSpPr/>
        </xdr:nvSpPr>
        <xdr:spPr>
          <a:xfrm>
            <a:off x="4762500" y="6003925"/>
            <a:ext cx="176953" cy="2476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79" name="59 Rectángulo"/>
          <xdr:cNvSpPr/>
        </xdr:nvSpPr>
        <xdr:spPr>
          <a:xfrm>
            <a:off x="5190913" y="6375400"/>
            <a:ext cx="270087" cy="1524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80" name="60 Rectángulo"/>
          <xdr:cNvSpPr/>
        </xdr:nvSpPr>
        <xdr:spPr>
          <a:xfrm>
            <a:off x="5181600" y="5727700"/>
            <a:ext cx="270087" cy="1524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</xdr:grpSp>
    <xdr:clientData/>
  </xdr:twoCellAnchor>
  <xdr:twoCellAnchor>
    <xdr:from>
      <xdr:col>20</xdr:col>
      <xdr:colOff>25400</xdr:colOff>
      <xdr:row>31</xdr:row>
      <xdr:rowOff>71437</xdr:rowOff>
    </xdr:from>
    <xdr:to>
      <xdr:col>22</xdr:col>
      <xdr:colOff>158749</xdr:colOff>
      <xdr:row>33</xdr:row>
      <xdr:rowOff>166687</xdr:rowOff>
    </xdr:to>
    <xdr:grpSp>
      <xdr:nvGrpSpPr>
        <xdr:cNvPr id="81" name="55 Grupo"/>
        <xdr:cNvGrpSpPr>
          <a:grpSpLocks/>
        </xdr:cNvGrpSpPr>
      </xdr:nvGrpSpPr>
      <xdr:grpSpPr bwMode="auto">
        <a:xfrm>
          <a:off x="8255000" y="6567487"/>
          <a:ext cx="742949" cy="514350"/>
          <a:chOff x="4762500" y="5727700"/>
          <a:chExt cx="1117600" cy="800100"/>
        </a:xfrm>
      </xdr:grpSpPr>
      <xdr:sp macro="" textlink="">
        <xdr:nvSpPr>
          <xdr:cNvPr id="82" name="56 Rectángulo redondeado"/>
          <xdr:cNvSpPr/>
        </xdr:nvSpPr>
        <xdr:spPr>
          <a:xfrm>
            <a:off x="5023273" y="5927725"/>
            <a:ext cx="605367" cy="381000"/>
          </a:xfrm>
          <a:prstGeom prst="roundRect">
            <a:avLst/>
          </a:prstGeom>
          <a:pattFill prst="pct5">
            <a:fgClr>
              <a:schemeClr val="accent1"/>
            </a:fgClr>
            <a:bgClr>
              <a:srgbClr val="C00000"/>
            </a:bgClr>
          </a:patt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83" name="57 Rectángulo"/>
          <xdr:cNvSpPr/>
        </xdr:nvSpPr>
        <xdr:spPr>
          <a:xfrm>
            <a:off x="5703147" y="6003925"/>
            <a:ext cx="176953" cy="2476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84" name="58 Rectángulo"/>
          <xdr:cNvSpPr/>
        </xdr:nvSpPr>
        <xdr:spPr>
          <a:xfrm>
            <a:off x="4762500" y="6003925"/>
            <a:ext cx="176953" cy="2476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85" name="59 Rectángulo"/>
          <xdr:cNvSpPr/>
        </xdr:nvSpPr>
        <xdr:spPr>
          <a:xfrm>
            <a:off x="5190913" y="6375400"/>
            <a:ext cx="270087" cy="1524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86" name="60 Rectángulo"/>
          <xdr:cNvSpPr/>
        </xdr:nvSpPr>
        <xdr:spPr>
          <a:xfrm>
            <a:off x="5181600" y="5727700"/>
            <a:ext cx="270087" cy="1524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</xdr:grpSp>
    <xdr:clientData/>
  </xdr:twoCellAnchor>
  <xdr:twoCellAnchor>
    <xdr:from>
      <xdr:col>20</xdr:col>
      <xdr:colOff>44450</xdr:colOff>
      <xdr:row>27</xdr:row>
      <xdr:rowOff>128587</xdr:rowOff>
    </xdr:from>
    <xdr:to>
      <xdr:col>22</xdr:col>
      <xdr:colOff>177799</xdr:colOff>
      <xdr:row>30</xdr:row>
      <xdr:rowOff>33337</xdr:rowOff>
    </xdr:to>
    <xdr:grpSp>
      <xdr:nvGrpSpPr>
        <xdr:cNvPr id="87" name="55 Grupo"/>
        <xdr:cNvGrpSpPr>
          <a:grpSpLocks/>
        </xdr:cNvGrpSpPr>
      </xdr:nvGrpSpPr>
      <xdr:grpSpPr bwMode="auto">
        <a:xfrm>
          <a:off x="8274050" y="5786437"/>
          <a:ext cx="742949" cy="533400"/>
          <a:chOff x="4762500" y="5727700"/>
          <a:chExt cx="1117600" cy="800100"/>
        </a:xfrm>
      </xdr:grpSpPr>
      <xdr:sp macro="" textlink="">
        <xdr:nvSpPr>
          <xdr:cNvPr id="88" name="56 Rectángulo redondeado"/>
          <xdr:cNvSpPr/>
        </xdr:nvSpPr>
        <xdr:spPr>
          <a:xfrm>
            <a:off x="5023273" y="5927725"/>
            <a:ext cx="605367" cy="381000"/>
          </a:xfrm>
          <a:prstGeom prst="roundRect">
            <a:avLst/>
          </a:prstGeom>
          <a:pattFill prst="pct5">
            <a:fgClr>
              <a:schemeClr val="accent1"/>
            </a:fgClr>
            <a:bgClr>
              <a:srgbClr val="C00000"/>
            </a:bgClr>
          </a:patt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89" name="57 Rectángulo"/>
          <xdr:cNvSpPr/>
        </xdr:nvSpPr>
        <xdr:spPr>
          <a:xfrm>
            <a:off x="5703147" y="6003925"/>
            <a:ext cx="176953" cy="2476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90" name="58 Rectángulo"/>
          <xdr:cNvSpPr/>
        </xdr:nvSpPr>
        <xdr:spPr>
          <a:xfrm>
            <a:off x="4762500" y="6003925"/>
            <a:ext cx="176953" cy="2476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91" name="59 Rectángulo"/>
          <xdr:cNvSpPr/>
        </xdr:nvSpPr>
        <xdr:spPr>
          <a:xfrm>
            <a:off x="5190913" y="6375400"/>
            <a:ext cx="270087" cy="1524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92" name="60 Rectángulo"/>
          <xdr:cNvSpPr/>
        </xdr:nvSpPr>
        <xdr:spPr>
          <a:xfrm>
            <a:off x="5181600" y="5727700"/>
            <a:ext cx="270087" cy="1524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</xdr:grpSp>
    <xdr:clientData/>
  </xdr:twoCellAnchor>
  <xdr:twoCellAnchor>
    <xdr:from>
      <xdr:col>20</xdr:col>
      <xdr:colOff>25400</xdr:colOff>
      <xdr:row>24</xdr:row>
      <xdr:rowOff>33337</xdr:rowOff>
    </xdr:from>
    <xdr:to>
      <xdr:col>22</xdr:col>
      <xdr:colOff>158749</xdr:colOff>
      <xdr:row>26</xdr:row>
      <xdr:rowOff>128587</xdr:rowOff>
    </xdr:to>
    <xdr:grpSp>
      <xdr:nvGrpSpPr>
        <xdr:cNvPr id="93" name="55 Grupo"/>
        <xdr:cNvGrpSpPr>
          <a:grpSpLocks/>
        </xdr:cNvGrpSpPr>
      </xdr:nvGrpSpPr>
      <xdr:grpSpPr bwMode="auto">
        <a:xfrm>
          <a:off x="8255000" y="5062537"/>
          <a:ext cx="742949" cy="514350"/>
          <a:chOff x="4762500" y="5727700"/>
          <a:chExt cx="1117600" cy="800100"/>
        </a:xfrm>
      </xdr:grpSpPr>
      <xdr:sp macro="" textlink="">
        <xdr:nvSpPr>
          <xdr:cNvPr id="94" name="56 Rectángulo redondeado"/>
          <xdr:cNvSpPr/>
        </xdr:nvSpPr>
        <xdr:spPr>
          <a:xfrm>
            <a:off x="5023273" y="5927725"/>
            <a:ext cx="605367" cy="381000"/>
          </a:xfrm>
          <a:prstGeom prst="roundRect">
            <a:avLst/>
          </a:prstGeom>
          <a:pattFill prst="pct5">
            <a:fgClr>
              <a:schemeClr val="accent1"/>
            </a:fgClr>
            <a:bgClr>
              <a:srgbClr val="C00000"/>
            </a:bgClr>
          </a:patt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95" name="57 Rectángulo"/>
          <xdr:cNvSpPr/>
        </xdr:nvSpPr>
        <xdr:spPr>
          <a:xfrm>
            <a:off x="5703147" y="6003925"/>
            <a:ext cx="176953" cy="2476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96" name="58 Rectángulo"/>
          <xdr:cNvSpPr/>
        </xdr:nvSpPr>
        <xdr:spPr>
          <a:xfrm>
            <a:off x="4762500" y="6003925"/>
            <a:ext cx="176953" cy="2476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97" name="59 Rectángulo"/>
          <xdr:cNvSpPr/>
        </xdr:nvSpPr>
        <xdr:spPr>
          <a:xfrm>
            <a:off x="5190913" y="6375400"/>
            <a:ext cx="270087" cy="1524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98" name="60 Rectángulo"/>
          <xdr:cNvSpPr/>
        </xdr:nvSpPr>
        <xdr:spPr>
          <a:xfrm>
            <a:off x="5181600" y="5727700"/>
            <a:ext cx="270087" cy="1524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</xdr:grpSp>
    <xdr:clientData/>
  </xdr:twoCellAnchor>
  <xdr:twoCellAnchor>
    <xdr:from>
      <xdr:col>20</xdr:col>
      <xdr:colOff>6350</xdr:colOff>
      <xdr:row>20</xdr:row>
      <xdr:rowOff>52387</xdr:rowOff>
    </xdr:from>
    <xdr:to>
      <xdr:col>22</xdr:col>
      <xdr:colOff>139699</xdr:colOff>
      <xdr:row>22</xdr:row>
      <xdr:rowOff>147637</xdr:rowOff>
    </xdr:to>
    <xdr:grpSp>
      <xdr:nvGrpSpPr>
        <xdr:cNvPr id="99" name="55 Grupo"/>
        <xdr:cNvGrpSpPr>
          <a:grpSpLocks/>
        </xdr:cNvGrpSpPr>
      </xdr:nvGrpSpPr>
      <xdr:grpSpPr bwMode="auto">
        <a:xfrm>
          <a:off x="8235950" y="4243387"/>
          <a:ext cx="742949" cy="514350"/>
          <a:chOff x="4762500" y="5727700"/>
          <a:chExt cx="1117600" cy="800100"/>
        </a:xfrm>
      </xdr:grpSpPr>
      <xdr:sp macro="" textlink="">
        <xdr:nvSpPr>
          <xdr:cNvPr id="100" name="56 Rectángulo redondeado"/>
          <xdr:cNvSpPr/>
        </xdr:nvSpPr>
        <xdr:spPr>
          <a:xfrm>
            <a:off x="5023273" y="5927725"/>
            <a:ext cx="605367" cy="381000"/>
          </a:xfrm>
          <a:prstGeom prst="roundRect">
            <a:avLst/>
          </a:prstGeom>
          <a:pattFill prst="pct5">
            <a:fgClr>
              <a:schemeClr val="accent1"/>
            </a:fgClr>
            <a:bgClr>
              <a:srgbClr val="C00000"/>
            </a:bgClr>
          </a:patt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101" name="57 Rectángulo"/>
          <xdr:cNvSpPr/>
        </xdr:nvSpPr>
        <xdr:spPr>
          <a:xfrm>
            <a:off x="5703147" y="6003925"/>
            <a:ext cx="176953" cy="2476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102" name="58 Rectángulo"/>
          <xdr:cNvSpPr/>
        </xdr:nvSpPr>
        <xdr:spPr>
          <a:xfrm>
            <a:off x="4762500" y="6003925"/>
            <a:ext cx="176953" cy="2476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103" name="59 Rectángulo"/>
          <xdr:cNvSpPr/>
        </xdr:nvSpPr>
        <xdr:spPr>
          <a:xfrm>
            <a:off x="5190913" y="6375400"/>
            <a:ext cx="270087" cy="1524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104" name="60 Rectángulo"/>
          <xdr:cNvSpPr/>
        </xdr:nvSpPr>
        <xdr:spPr>
          <a:xfrm>
            <a:off x="5181600" y="5727700"/>
            <a:ext cx="270087" cy="1524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</xdr:grpSp>
    <xdr:clientData/>
  </xdr:twoCellAnchor>
  <xdr:twoCellAnchor>
    <xdr:from>
      <xdr:col>20</xdr:col>
      <xdr:colOff>25400</xdr:colOff>
      <xdr:row>17</xdr:row>
      <xdr:rowOff>33337</xdr:rowOff>
    </xdr:from>
    <xdr:to>
      <xdr:col>22</xdr:col>
      <xdr:colOff>158749</xdr:colOff>
      <xdr:row>19</xdr:row>
      <xdr:rowOff>128587</xdr:rowOff>
    </xdr:to>
    <xdr:grpSp>
      <xdr:nvGrpSpPr>
        <xdr:cNvPr id="105" name="55 Grupo"/>
        <xdr:cNvGrpSpPr>
          <a:grpSpLocks/>
        </xdr:cNvGrpSpPr>
      </xdr:nvGrpSpPr>
      <xdr:grpSpPr bwMode="auto">
        <a:xfrm>
          <a:off x="8255000" y="3595687"/>
          <a:ext cx="742949" cy="514350"/>
          <a:chOff x="4762500" y="5727700"/>
          <a:chExt cx="1117600" cy="800100"/>
        </a:xfrm>
      </xdr:grpSpPr>
      <xdr:sp macro="" textlink="">
        <xdr:nvSpPr>
          <xdr:cNvPr id="106" name="56 Rectángulo redondeado"/>
          <xdr:cNvSpPr/>
        </xdr:nvSpPr>
        <xdr:spPr>
          <a:xfrm>
            <a:off x="5023273" y="5927725"/>
            <a:ext cx="605367" cy="381000"/>
          </a:xfrm>
          <a:prstGeom prst="roundRect">
            <a:avLst/>
          </a:prstGeom>
          <a:pattFill prst="pct5">
            <a:fgClr>
              <a:schemeClr val="accent1"/>
            </a:fgClr>
            <a:bgClr>
              <a:srgbClr val="C00000"/>
            </a:bgClr>
          </a:patt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107" name="57 Rectángulo"/>
          <xdr:cNvSpPr/>
        </xdr:nvSpPr>
        <xdr:spPr>
          <a:xfrm>
            <a:off x="5703147" y="6003925"/>
            <a:ext cx="176953" cy="2476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108" name="58 Rectángulo"/>
          <xdr:cNvSpPr/>
        </xdr:nvSpPr>
        <xdr:spPr>
          <a:xfrm>
            <a:off x="4762500" y="6003925"/>
            <a:ext cx="176953" cy="2476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109" name="59 Rectángulo"/>
          <xdr:cNvSpPr/>
        </xdr:nvSpPr>
        <xdr:spPr>
          <a:xfrm>
            <a:off x="5190913" y="6375400"/>
            <a:ext cx="270087" cy="1524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110" name="60 Rectángulo"/>
          <xdr:cNvSpPr/>
        </xdr:nvSpPr>
        <xdr:spPr>
          <a:xfrm>
            <a:off x="5181600" y="5727700"/>
            <a:ext cx="270087" cy="1524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</xdr:grpSp>
    <xdr:clientData/>
  </xdr:twoCellAnchor>
  <xdr:twoCellAnchor>
    <xdr:from>
      <xdr:col>20</xdr:col>
      <xdr:colOff>25400</xdr:colOff>
      <xdr:row>13</xdr:row>
      <xdr:rowOff>109537</xdr:rowOff>
    </xdr:from>
    <xdr:to>
      <xdr:col>22</xdr:col>
      <xdr:colOff>158749</xdr:colOff>
      <xdr:row>16</xdr:row>
      <xdr:rowOff>14287</xdr:rowOff>
    </xdr:to>
    <xdr:grpSp>
      <xdr:nvGrpSpPr>
        <xdr:cNvPr id="111" name="55 Grupo"/>
        <xdr:cNvGrpSpPr>
          <a:grpSpLocks/>
        </xdr:cNvGrpSpPr>
      </xdr:nvGrpSpPr>
      <xdr:grpSpPr bwMode="auto">
        <a:xfrm>
          <a:off x="8255000" y="2833687"/>
          <a:ext cx="742949" cy="533400"/>
          <a:chOff x="4762500" y="5727700"/>
          <a:chExt cx="1117600" cy="800100"/>
        </a:xfrm>
      </xdr:grpSpPr>
      <xdr:sp macro="" textlink="">
        <xdr:nvSpPr>
          <xdr:cNvPr id="112" name="56 Rectángulo redondeado"/>
          <xdr:cNvSpPr/>
        </xdr:nvSpPr>
        <xdr:spPr>
          <a:xfrm>
            <a:off x="5023273" y="5927725"/>
            <a:ext cx="605367" cy="381000"/>
          </a:xfrm>
          <a:prstGeom prst="roundRect">
            <a:avLst/>
          </a:prstGeom>
          <a:pattFill prst="pct5">
            <a:fgClr>
              <a:schemeClr val="accent1"/>
            </a:fgClr>
            <a:bgClr>
              <a:srgbClr val="C00000"/>
            </a:bgClr>
          </a:patt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113" name="57 Rectángulo"/>
          <xdr:cNvSpPr/>
        </xdr:nvSpPr>
        <xdr:spPr>
          <a:xfrm>
            <a:off x="5703147" y="6003925"/>
            <a:ext cx="176953" cy="2476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114" name="58 Rectángulo"/>
          <xdr:cNvSpPr/>
        </xdr:nvSpPr>
        <xdr:spPr>
          <a:xfrm>
            <a:off x="4762500" y="6003925"/>
            <a:ext cx="176953" cy="2476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115" name="59 Rectángulo"/>
          <xdr:cNvSpPr/>
        </xdr:nvSpPr>
        <xdr:spPr>
          <a:xfrm>
            <a:off x="5190913" y="6375400"/>
            <a:ext cx="270087" cy="1524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116" name="60 Rectángulo"/>
          <xdr:cNvSpPr/>
        </xdr:nvSpPr>
        <xdr:spPr>
          <a:xfrm>
            <a:off x="5181600" y="5727700"/>
            <a:ext cx="270087" cy="1524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</xdr:grpSp>
    <xdr:clientData/>
  </xdr:twoCellAnchor>
  <xdr:twoCellAnchor>
    <xdr:from>
      <xdr:col>8</xdr:col>
      <xdr:colOff>38100</xdr:colOff>
      <xdr:row>7</xdr:row>
      <xdr:rowOff>95250</xdr:rowOff>
    </xdr:from>
    <xdr:to>
      <xdr:col>19</xdr:col>
      <xdr:colOff>209550</xdr:colOff>
      <xdr:row>37</xdr:row>
      <xdr:rowOff>57150</xdr:rowOff>
    </xdr:to>
    <xdr:sp macro="" textlink="">
      <xdr:nvSpPr>
        <xdr:cNvPr id="117" name="Rectángulo 116"/>
        <xdr:cNvSpPr/>
      </xdr:nvSpPr>
      <xdr:spPr>
        <a:xfrm>
          <a:off x="4267200" y="1428750"/>
          <a:ext cx="3419475" cy="5676900"/>
        </a:xfrm>
        <a:prstGeom prst="rect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  <a:p>
          <a:pPr algn="l"/>
          <a:endParaRPr lang="es-PE" sz="1100"/>
        </a:p>
        <a:p>
          <a:pPr algn="l"/>
          <a:endParaRPr lang="es-PE" sz="1100"/>
        </a:p>
        <a:p>
          <a:pPr algn="l"/>
          <a:endParaRPr lang="es-PE" sz="1100"/>
        </a:p>
        <a:p>
          <a:pPr algn="l"/>
          <a:endParaRPr lang="es-PE" sz="1100"/>
        </a:p>
        <a:p>
          <a:pPr algn="l"/>
          <a:endParaRPr lang="es-PE" sz="1100"/>
        </a:p>
        <a:p>
          <a:pPr algn="l"/>
          <a:endParaRPr lang="es-PE" sz="1100"/>
        </a:p>
        <a:p>
          <a:pPr algn="l"/>
          <a:endParaRPr lang="es-PE" sz="1100"/>
        </a:p>
        <a:p>
          <a:pPr algn="l"/>
          <a:endParaRPr lang="es-PE" sz="1100"/>
        </a:p>
        <a:p>
          <a:pPr algn="l"/>
          <a:endParaRPr lang="es-PE" sz="1100"/>
        </a:p>
        <a:p>
          <a:pPr algn="l"/>
          <a:endParaRPr lang="es-PE" sz="1100"/>
        </a:p>
        <a:p>
          <a:pPr algn="l"/>
          <a:endParaRPr lang="es-PE" sz="1100"/>
        </a:p>
        <a:p>
          <a:pPr algn="l"/>
          <a:endParaRPr lang="es-PE" sz="1100"/>
        </a:p>
        <a:p>
          <a:pPr algn="l"/>
          <a:endParaRPr lang="es-PE" sz="1100"/>
        </a:p>
        <a:p>
          <a:pPr algn="ctr"/>
          <a:r>
            <a:rPr lang="es-PE" sz="1100" b="1">
              <a:solidFill>
                <a:sysClr val="windowText" lastClr="000000"/>
              </a:solidFill>
            </a:rPr>
            <a:t>   PISTA DE BAILE</a:t>
          </a:r>
        </a:p>
      </xdr:txBody>
    </xdr:sp>
    <xdr:clientData/>
  </xdr:twoCellAnchor>
  <xdr:twoCellAnchor>
    <xdr:from>
      <xdr:col>8</xdr:col>
      <xdr:colOff>266700</xdr:colOff>
      <xdr:row>12</xdr:row>
      <xdr:rowOff>95250</xdr:rowOff>
    </xdr:from>
    <xdr:to>
      <xdr:col>18</xdr:col>
      <xdr:colOff>295275</xdr:colOff>
      <xdr:row>15</xdr:row>
      <xdr:rowOff>76200</xdr:rowOff>
    </xdr:to>
    <xdr:grpSp>
      <xdr:nvGrpSpPr>
        <xdr:cNvPr id="118" name="8 Grupo"/>
        <xdr:cNvGrpSpPr>
          <a:grpSpLocks/>
        </xdr:cNvGrpSpPr>
      </xdr:nvGrpSpPr>
      <xdr:grpSpPr bwMode="auto">
        <a:xfrm>
          <a:off x="4838700" y="2609850"/>
          <a:ext cx="3076575" cy="609600"/>
          <a:chOff x="2981325" y="657225"/>
          <a:chExt cx="2971800" cy="552450"/>
        </a:xfrm>
      </xdr:grpSpPr>
      <xdr:sp macro="" textlink="">
        <xdr:nvSpPr>
          <xdr:cNvPr id="119" name="17 Rectángulo"/>
          <xdr:cNvSpPr/>
        </xdr:nvSpPr>
        <xdr:spPr bwMode="auto">
          <a:xfrm>
            <a:off x="2981325" y="657225"/>
            <a:ext cx="2971800" cy="5524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120" name="5 Elipse"/>
          <xdr:cNvSpPr/>
        </xdr:nvSpPr>
        <xdr:spPr bwMode="auto">
          <a:xfrm>
            <a:off x="5648325" y="838200"/>
            <a:ext cx="219075" cy="200025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121" name="125 Elipse"/>
          <xdr:cNvSpPr/>
        </xdr:nvSpPr>
        <xdr:spPr bwMode="auto">
          <a:xfrm>
            <a:off x="3048000" y="828675"/>
            <a:ext cx="219075" cy="20955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122" name="119 Rectángulo"/>
          <xdr:cNvSpPr/>
        </xdr:nvSpPr>
        <xdr:spPr bwMode="auto">
          <a:xfrm>
            <a:off x="3905250" y="762000"/>
            <a:ext cx="104775" cy="3619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123" name="4 Rectángulo"/>
          <xdr:cNvSpPr/>
        </xdr:nvSpPr>
        <xdr:spPr bwMode="auto">
          <a:xfrm>
            <a:off x="4057650" y="771525"/>
            <a:ext cx="104775" cy="3619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124" name="116 Rectángulo"/>
          <xdr:cNvSpPr/>
        </xdr:nvSpPr>
        <xdr:spPr bwMode="auto">
          <a:xfrm>
            <a:off x="4210050" y="771525"/>
            <a:ext cx="104775" cy="35242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125" name="109 Rectángulo"/>
          <xdr:cNvSpPr/>
        </xdr:nvSpPr>
        <xdr:spPr bwMode="auto">
          <a:xfrm>
            <a:off x="4362450" y="762000"/>
            <a:ext cx="95250" cy="3619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126" name="111 Rectángulo"/>
          <xdr:cNvSpPr/>
        </xdr:nvSpPr>
        <xdr:spPr bwMode="auto">
          <a:xfrm>
            <a:off x="4495800" y="762000"/>
            <a:ext cx="104775" cy="3619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127" name="112 Rectángulo"/>
          <xdr:cNvSpPr/>
        </xdr:nvSpPr>
        <xdr:spPr bwMode="auto">
          <a:xfrm>
            <a:off x="4638675" y="762000"/>
            <a:ext cx="104775" cy="3619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128" name="113 Rectángulo"/>
          <xdr:cNvSpPr/>
        </xdr:nvSpPr>
        <xdr:spPr bwMode="auto">
          <a:xfrm>
            <a:off x="4781550" y="752475"/>
            <a:ext cx="95250" cy="3619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129" name="114 Rectángulo"/>
          <xdr:cNvSpPr/>
        </xdr:nvSpPr>
        <xdr:spPr bwMode="auto">
          <a:xfrm>
            <a:off x="4914900" y="762000"/>
            <a:ext cx="95250" cy="3619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130" name="2008644 Rectángulo"/>
          <xdr:cNvSpPr/>
        </xdr:nvSpPr>
        <xdr:spPr bwMode="auto">
          <a:xfrm>
            <a:off x="3314700" y="771525"/>
            <a:ext cx="542925" cy="35242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  <xdr:sp macro="" textlink="">
        <xdr:nvSpPr>
          <xdr:cNvPr id="131" name="131 Rectángulo"/>
          <xdr:cNvSpPr/>
        </xdr:nvSpPr>
        <xdr:spPr bwMode="auto">
          <a:xfrm>
            <a:off x="5057775" y="771525"/>
            <a:ext cx="542925" cy="35242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E"/>
          </a:p>
        </xdr:txBody>
      </xdr:sp>
    </xdr:grpSp>
    <xdr:clientData/>
  </xdr:twoCellAnchor>
  <xdr:twoCellAnchor>
    <xdr:from>
      <xdr:col>11</xdr:col>
      <xdr:colOff>114300</xdr:colOff>
      <xdr:row>7</xdr:row>
      <xdr:rowOff>76200</xdr:rowOff>
    </xdr:from>
    <xdr:to>
      <xdr:col>16</xdr:col>
      <xdr:colOff>228600</xdr:colOff>
      <xdr:row>10</xdr:row>
      <xdr:rowOff>0</xdr:rowOff>
    </xdr:to>
    <xdr:sp macro="" textlink="">
      <xdr:nvSpPr>
        <xdr:cNvPr id="132" name="Operación manual 131"/>
        <xdr:cNvSpPr/>
      </xdr:nvSpPr>
      <xdr:spPr>
        <a:xfrm>
          <a:off x="5229225" y="1409700"/>
          <a:ext cx="1590675" cy="495300"/>
        </a:xfrm>
        <a:prstGeom prst="flowChartManualOperat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200" b="1">
              <a:solidFill>
                <a:sysClr val="windowText" lastClr="000000"/>
              </a:solidFill>
            </a:rPr>
            <a:t>CABINA D.J</a:t>
          </a:r>
        </a:p>
      </xdr:txBody>
    </xdr:sp>
    <xdr:clientData/>
  </xdr:twoCellAnchor>
  <xdr:twoCellAnchor>
    <xdr:from>
      <xdr:col>11</xdr:col>
      <xdr:colOff>0</xdr:colOff>
      <xdr:row>10</xdr:row>
      <xdr:rowOff>19050</xdr:rowOff>
    </xdr:from>
    <xdr:to>
      <xdr:col>16</xdr:col>
      <xdr:colOff>247650</xdr:colOff>
      <xdr:row>12</xdr:row>
      <xdr:rowOff>57150</xdr:rowOff>
    </xdr:to>
    <xdr:sp macro="" textlink="">
      <xdr:nvSpPr>
        <xdr:cNvPr id="133" name="Rectángulo 132"/>
        <xdr:cNvSpPr/>
      </xdr:nvSpPr>
      <xdr:spPr>
        <a:xfrm>
          <a:off x="5114925" y="1924050"/>
          <a:ext cx="1724025" cy="419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400" b="1">
              <a:solidFill>
                <a:sysClr val="windowText" lastClr="000000"/>
              </a:solidFill>
            </a:rPr>
            <a:t>ESCENARIO</a:t>
          </a:r>
        </a:p>
      </xdr:txBody>
    </xdr:sp>
    <xdr:clientData/>
  </xdr:twoCellAnchor>
  <xdr:twoCellAnchor>
    <xdr:from>
      <xdr:col>2</xdr:col>
      <xdr:colOff>191703</xdr:colOff>
      <xdr:row>8</xdr:row>
      <xdr:rowOff>10780</xdr:rowOff>
    </xdr:from>
    <xdr:to>
      <xdr:col>27</xdr:col>
      <xdr:colOff>241253</xdr:colOff>
      <xdr:row>47</xdr:row>
      <xdr:rowOff>133537</xdr:rowOff>
    </xdr:to>
    <xdr:sp macro="" textlink="">
      <xdr:nvSpPr>
        <xdr:cNvPr id="134" name="Arco 133"/>
        <xdr:cNvSpPr/>
      </xdr:nvSpPr>
      <xdr:spPr>
        <a:xfrm rot="2641586" flipV="1">
          <a:off x="1865794" y="1627144"/>
          <a:ext cx="8362277" cy="8002529"/>
        </a:xfrm>
        <a:prstGeom prst="arc">
          <a:avLst/>
        </a:prstGeom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10</xdr:col>
      <xdr:colOff>246459</xdr:colOff>
      <xdr:row>45</xdr:row>
      <xdr:rowOff>177512</xdr:rowOff>
    </xdr:from>
    <xdr:to>
      <xdr:col>17</xdr:col>
      <xdr:colOff>75009</xdr:colOff>
      <xdr:row>48</xdr:row>
      <xdr:rowOff>30309</xdr:rowOff>
    </xdr:to>
    <xdr:sp macro="" textlink="">
      <xdr:nvSpPr>
        <xdr:cNvPr id="135" name="Elipse 134"/>
        <xdr:cNvSpPr/>
      </xdr:nvSpPr>
      <xdr:spPr>
        <a:xfrm>
          <a:off x="5066109" y="8750012"/>
          <a:ext cx="1895475" cy="424297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 b="1">
              <a:solidFill>
                <a:sysClr val="windowText" lastClr="000000"/>
              </a:solidFill>
            </a:rPr>
            <a:t>PLNTA BAJA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742950</xdr:colOff>
      <xdr:row>12</xdr:row>
      <xdr:rowOff>133350</xdr:rowOff>
    </xdr:from>
    <xdr:to>
      <xdr:col>13</xdr:col>
      <xdr:colOff>1685702</xdr:colOff>
      <xdr:row>16</xdr:row>
      <xdr:rowOff>114198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58325" y="2571750"/>
          <a:ext cx="1780952" cy="8190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704850</xdr:colOff>
          <xdr:row>3</xdr:row>
          <xdr:rowOff>161925</xdr:rowOff>
        </xdr:from>
        <xdr:to>
          <xdr:col>4</xdr:col>
          <xdr:colOff>400050</xdr:colOff>
          <xdr:row>7</xdr:row>
          <xdr:rowOff>9525</xdr:rowOff>
        </xdr:to>
        <xdr:sp macro="" textlink="">
          <xdr:nvSpPr>
            <xdr:cNvPr id="24577" name="Object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B0F0"/>
            </a:solidFill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466725</xdr:colOff>
          <xdr:row>28</xdr:row>
          <xdr:rowOff>228600</xdr:rowOff>
        </xdr:from>
        <xdr:to>
          <xdr:col>11</xdr:col>
          <xdr:colOff>200025</xdr:colOff>
          <xdr:row>31</xdr:row>
          <xdr:rowOff>57150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EE6F0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476250</xdr:colOff>
          <xdr:row>31</xdr:row>
          <xdr:rowOff>142875</xdr:rowOff>
        </xdr:from>
        <xdr:to>
          <xdr:col>11</xdr:col>
          <xdr:colOff>723900</xdr:colOff>
          <xdr:row>34</xdr:row>
          <xdr:rowOff>95250</xdr:rowOff>
        </xdr:to>
        <xdr:sp macro="" textlink="">
          <xdr:nvSpPr>
            <xdr:cNvPr id="18434" name="Object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4CDE2"/>
            </a:solidFill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25</xdr:row>
          <xdr:rowOff>57150</xdr:rowOff>
        </xdr:from>
        <xdr:to>
          <xdr:col>8</xdr:col>
          <xdr:colOff>76200</xdr:colOff>
          <xdr:row>30</xdr:row>
          <xdr:rowOff>28575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DDDEC"/>
            </a:solidFill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40</xdr:row>
      <xdr:rowOff>123825</xdr:rowOff>
    </xdr:from>
    <xdr:to>
      <xdr:col>14</xdr:col>
      <xdr:colOff>142875</xdr:colOff>
      <xdr:row>58</xdr:row>
      <xdr:rowOff>38100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03" t="14835" r="25139" b="31868"/>
        <a:stretch>
          <a:fillRect/>
        </a:stretch>
      </xdr:blipFill>
      <xdr:spPr bwMode="auto">
        <a:xfrm>
          <a:off x="6391275" y="7181850"/>
          <a:ext cx="4305300" cy="282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114300</xdr:colOff>
      <xdr:row>60</xdr:row>
      <xdr:rowOff>38100</xdr:rowOff>
    </xdr:from>
    <xdr:to>
      <xdr:col>14</xdr:col>
      <xdr:colOff>276225</xdr:colOff>
      <xdr:row>77</xdr:row>
      <xdr:rowOff>152400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293" t="20604" r="26523" b="29121"/>
        <a:stretch>
          <a:fillRect/>
        </a:stretch>
      </xdr:blipFill>
      <xdr:spPr bwMode="auto">
        <a:xfrm>
          <a:off x="6477000" y="10334625"/>
          <a:ext cx="4352925" cy="286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0</xdr:colOff>
      <xdr:row>17</xdr:row>
      <xdr:rowOff>76200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13</xdr:col>
      <xdr:colOff>0</xdr:colOff>
      <xdr:row>17</xdr:row>
      <xdr:rowOff>76200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0</xdr:colOff>
      <xdr:row>32</xdr:row>
      <xdr:rowOff>76200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18</xdr:row>
      <xdr:rowOff>0</xdr:rowOff>
    </xdr:from>
    <xdr:to>
      <xdr:col>13</xdr:col>
      <xdr:colOff>0</xdr:colOff>
      <xdr:row>32</xdr:row>
      <xdr:rowOff>76200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6</xdr:col>
      <xdr:colOff>0</xdr:colOff>
      <xdr:row>47</xdr:row>
      <xdr:rowOff>76200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33</xdr:row>
      <xdr:rowOff>0</xdr:rowOff>
    </xdr:from>
    <xdr:to>
      <xdr:col>13</xdr:col>
      <xdr:colOff>0</xdr:colOff>
      <xdr:row>47</xdr:row>
      <xdr:rowOff>76200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6</xdr:col>
      <xdr:colOff>0</xdr:colOff>
      <xdr:row>62</xdr:row>
      <xdr:rowOff>76200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48</xdr:row>
      <xdr:rowOff>0</xdr:rowOff>
    </xdr:from>
    <xdr:to>
      <xdr:col>13</xdr:col>
      <xdr:colOff>0</xdr:colOff>
      <xdr:row>62</xdr:row>
      <xdr:rowOff>76200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8</xdr:row>
      <xdr:rowOff>47625</xdr:rowOff>
    </xdr:from>
    <xdr:to>
      <xdr:col>4</xdr:col>
      <xdr:colOff>447675</xdr:colOff>
      <xdr:row>8</xdr:row>
      <xdr:rowOff>266700</xdr:rowOff>
    </xdr:to>
    <xdr:sp macro="" textlink="">
      <xdr:nvSpPr>
        <xdr:cNvPr id="2" name="2 Rectángulo"/>
        <xdr:cNvSpPr/>
      </xdr:nvSpPr>
      <xdr:spPr>
        <a:xfrm>
          <a:off x="5762625" y="2667000"/>
          <a:ext cx="238125" cy="219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4</xdr:col>
      <xdr:colOff>209550</xdr:colOff>
      <xdr:row>9</xdr:row>
      <xdr:rowOff>47625</xdr:rowOff>
    </xdr:from>
    <xdr:to>
      <xdr:col>4</xdr:col>
      <xdr:colOff>447675</xdr:colOff>
      <xdr:row>9</xdr:row>
      <xdr:rowOff>266700</xdr:rowOff>
    </xdr:to>
    <xdr:sp macro="" textlink="">
      <xdr:nvSpPr>
        <xdr:cNvPr id="3" name="5 Rectángulo"/>
        <xdr:cNvSpPr/>
      </xdr:nvSpPr>
      <xdr:spPr>
        <a:xfrm>
          <a:off x="5762625" y="2971800"/>
          <a:ext cx="238125" cy="219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4</xdr:col>
      <xdr:colOff>209550</xdr:colOff>
      <xdr:row>10</xdr:row>
      <xdr:rowOff>47625</xdr:rowOff>
    </xdr:from>
    <xdr:to>
      <xdr:col>4</xdr:col>
      <xdr:colOff>447675</xdr:colOff>
      <xdr:row>10</xdr:row>
      <xdr:rowOff>266700</xdr:rowOff>
    </xdr:to>
    <xdr:sp macro="" textlink="">
      <xdr:nvSpPr>
        <xdr:cNvPr id="4" name="6 Rectángulo"/>
        <xdr:cNvSpPr/>
      </xdr:nvSpPr>
      <xdr:spPr>
        <a:xfrm>
          <a:off x="5762625" y="3276600"/>
          <a:ext cx="238125" cy="219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4</xdr:col>
      <xdr:colOff>209550</xdr:colOff>
      <xdr:row>11</xdr:row>
      <xdr:rowOff>47625</xdr:rowOff>
    </xdr:from>
    <xdr:to>
      <xdr:col>4</xdr:col>
      <xdr:colOff>447675</xdr:colOff>
      <xdr:row>11</xdr:row>
      <xdr:rowOff>266700</xdr:rowOff>
    </xdr:to>
    <xdr:sp macro="" textlink="">
      <xdr:nvSpPr>
        <xdr:cNvPr id="6" name="8 Rectángulo"/>
        <xdr:cNvSpPr/>
      </xdr:nvSpPr>
      <xdr:spPr>
        <a:xfrm>
          <a:off x="5762625" y="3886200"/>
          <a:ext cx="238125" cy="219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9</xdr:col>
      <xdr:colOff>209550</xdr:colOff>
      <xdr:row>15</xdr:row>
      <xdr:rowOff>47625</xdr:rowOff>
    </xdr:from>
    <xdr:to>
      <xdr:col>9</xdr:col>
      <xdr:colOff>447675</xdr:colOff>
      <xdr:row>15</xdr:row>
      <xdr:rowOff>266700</xdr:rowOff>
    </xdr:to>
    <xdr:sp macro="" textlink="">
      <xdr:nvSpPr>
        <xdr:cNvPr id="7" name="9 Rectángulo"/>
        <xdr:cNvSpPr/>
      </xdr:nvSpPr>
      <xdr:spPr>
        <a:xfrm>
          <a:off x="12744450" y="2667000"/>
          <a:ext cx="238125" cy="219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9</xdr:col>
      <xdr:colOff>209550</xdr:colOff>
      <xdr:row>16</xdr:row>
      <xdr:rowOff>47625</xdr:rowOff>
    </xdr:from>
    <xdr:to>
      <xdr:col>9</xdr:col>
      <xdr:colOff>447675</xdr:colOff>
      <xdr:row>16</xdr:row>
      <xdr:rowOff>266700</xdr:rowOff>
    </xdr:to>
    <xdr:sp macro="" textlink="">
      <xdr:nvSpPr>
        <xdr:cNvPr id="8" name="10 Rectángulo"/>
        <xdr:cNvSpPr/>
      </xdr:nvSpPr>
      <xdr:spPr>
        <a:xfrm>
          <a:off x="12744450" y="2971800"/>
          <a:ext cx="238125" cy="219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9</xdr:col>
      <xdr:colOff>209550</xdr:colOff>
      <xdr:row>22</xdr:row>
      <xdr:rowOff>47625</xdr:rowOff>
    </xdr:from>
    <xdr:to>
      <xdr:col>9</xdr:col>
      <xdr:colOff>447675</xdr:colOff>
      <xdr:row>22</xdr:row>
      <xdr:rowOff>266700</xdr:rowOff>
    </xdr:to>
    <xdr:sp macro="" textlink="">
      <xdr:nvSpPr>
        <xdr:cNvPr id="9" name="11 Rectángulo"/>
        <xdr:cNvSpPr/>
      </xdr:nvSpPr>
      <xdr:spPr>
        <a:xfrm>
          <a:off x="12744450" y="4876800"/>
          <a:ext cx="238125" cy="219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4</xdr:col>
      <xdr:colOff>209550</xdr:colOff>
      <xdr:row>18</xdr:row>
      <xdr:rowOff>47625</xdr:rowOff>
    </xdr:from>
    <xdr:to>
      <xdr:col>4</xdr:col>
      <xdr:colOff>447675</xdr:colOff>
      <xdr:row>18</xdr:row>
      <xdr:rowOff>266700</xdr:rowOff>
    </xdr:to>
    <xdr:sp macro="" textlink="">
      <xdr:nvSpPr>
        <xdr:cNvPr id="10" name="12 Rectángulo"/>
        <xdr:cNvSpPr/>
      </xdr:nvSpPr>
      <xdr:spPr>
        <a:xfrm>
          <a:off x="5762625" y="4876800"/>
          <a:ext cx="238125" cy="219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4</xdr:col>
      <xdr:colOff>209550</xdr:colOff>
      <xdr:row>19</xdr:row>
      <xdr:rowOff>47625</xdr:rowOff>
    </xdr:from>
    <xdr:to>
      <xdr:col>4</xdr:col>
      <xdr:colOff>447675</xdr:colOff>
      <xdr:row>19</xdr:row>
      <xdr:rowOff>266700</xdr:rowOff>
    </xdr:to>
    <xdr:sp macro="" textlink="">
      <xdr:nvSpPr>
        <xdr:cNvPr id="11" name="13 Rectángulo"/>
        <xdr:cNvSpPr/>
      </xdr:nvSpPr>
      <xdr:spPr>
        <a:xfrm>
          <a:off x="5762625" y="5181600"/>
          <a:ext cx="238125" cy="219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9</xdr:col>
      <xdr:colOff>209550</xdr:colOff>
      <xdr:row>23</xdr:row>
      <xdr:rowOff>47625</xdr:rowOff>
    </xdr:from>
    <xdr:to>
      <xdr:col>9</xdr:col>
      <xdr:colOff>447675</xdr:colOff>
      <xdr:row>23</xdr:row>
      <xdr:rowOff>266700</xdr:rowOff>
    </xdr:to>
    <xdr:sp macro="" textlink="">
      <xdr:nvSpPr>
        <xdr:cNvPr id="13" name="16 Rectángulo"/>
        <xdr:cNvSpPr/>
      </xdr:nvSpPr>
      <xdr:spPr>
        <a:xfrm>
          <a:off x="12744450" y="5181600"/>
          <a:ext cx="238125" cy="219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9</xdr:col>
      <xdr:colOff>209550</xdr:colOff>
      <xdr:row>27</xdr:row>
      <xdr:rowOff>47625</xdr:rowOff>
    </xdr:from>
    <xdr:to>
      <xdr:col>9</xdr:col>
      <xdr:colOff>447675</xdr:colOff>
      <xdr:row>27</xdr:row>
      <xdr:rowOff>266700</xdr:rowOff>
    </xdr:to>
    <xdr:sp macro="" textlink="">
      <xdr:nvSpPr>
        <xdr:cNvPr id="15" name="18 Rectángulo"/>
        <xdr:cNvSpPr/>
      </xdr:nvSpPr>
      <xdr:spPr>
        <a:xfrm>
          <a:off x="12744450" y="6505575"/>
          <a:ext cx="238125" cy="219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9</xdr:col>
      <xdr:colOff>209550</xdr:colOff>
      <xdr:row>31</xdr:row>
      <xdr:rowOff>47625</xdr:rowOff>
    </xdr:from>
    <xdr:to>
      <xdr:col>9</xdr:col>
      <xdr:colOff>447675</xdr:colOff>
      <xdr:row>31</xdr:row>
      <xdr:rowOff>266700</xdr:rowOff>
    </xdr:to>
    <xdr:sp macro="" textlink="">
      <xdr:nvSpPr>
        <xdr:cNvPr id="16" name="19 Rectángulo"/>
        <xdr:cNvSpPr/>
      </xdr:nvSpPr>
      <xdr:spPr>
        <a:xfrm>
          <a:off x="12744450" y="6800850"/>
          <a:ext cx="238125" cy="219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9</xdr:col>
      <xdr:colOff>209550</xdr:colOff>
      <xdr:row>32</xdr:row>
      <xdr:rowOff>47625</xdr:rowOff>
    </xdr:from>
    <xdr:to>
      <xdr:col>9</xdr:col>
      <xdr:colOff>447675</xdr:colOff>
      <xdr:row>32</xdr:row>
      <xdr:rowOff>266700</xdr:rowOff>
    </xdr:to>
    <xdr:sp macro="" textlink="">
      <xdr:nvSpPr>
        <xdr:cNvPr id="17" name="20 Rectángulo"/>
        <xdr:cNvSpPr/>
      </xdr:nvSpPr>
      <xdr:spPr>
        <a:xfrm>
          <a:off x="12744450" y="7096125"/>
          <a:ext cx="238125" cy="219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4</xdr:col>
      <xdr:colOff>209550</xdr:colOff>
      <xdr:row>22</xdr:row>
      <xdr:rowOff>47625</xdr:rowOff>
    </xdr:from>
    <xdr:to>
      <xdr:col>4</xdr:col>
      <xdr:colOff>447675</xdr:colOff>
      <xdr:row>22</xdr:row>
      <xdr:rowOff>266700</xdr:rowOff>
    </xdr:to>
    <xdr:sp macro="" textlink="">
      <xdr:nvSpPr>
        <xdr:cNvPr id="22" name="25 Rectángulo"/>
        <xdr:cNvSpPr/>
      </xdr:nvSpPr>
      <xdr:spPr>
        <a:xfrm>
          <a:off x="5762625" y="8401050"/>
          <a:ext cx="238125" cy="219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4</xdr:col>
      <xdr:colOff>209550</xdr:colOff>
      <xdr:row>23</xdr:row>
      <xdr:rowOff>47625</xdr:rowOff>
    </xdr:from>
    <xdr:to>
      <xdr:col>4</xdr:col>
      <xdr:colOff>447675</xdr:colOff>
      <xdr:row>23</xdr:row>
      <xdr:rowOff>266700</xdr:rowOff>
    </xdr:to>
    <xdr:sp macro="" textlink="">
      <xdr:nvSpPr>
        <xdr:cNvPr id="26" name="30 Rectángulo"/>
        <xdr:cNvSpPr/>
      </xdr:nvSpPr>
      <xdr:spPr>
        <a:xfrm>
          <a:off x="5762625" y="8686800"/>
          <a:ext cx="238125" cy="219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9</xdr:col>
      <xdr:colOff>209550</xdr:colOff>
      <xdr:row>24</xdr:row>
      <xdr:rowOff>47625</xdr:rowOff>
    </xdr:from>
    <xdr:to>
      <xdr:col>9</xdr:col>
      <xdr:colOff>447675</xdr:colOff>
      <xdr:row>24</xdr:row>
      <xdr:rowOff>266700</xdr:rowOff>
    </xdr:to>
    <xdr:sp macro="" textlink="">
      <xdr:nvSpPr>
        <xdr:cNvPr id="37" name="17 Rectángulo"/>
        <xdr:cNvSpPr/>
      </xdr:nvSpPr>
      <xdr:spPr>
        <a:xfrm>
          <a:off x="10713146" y="4810125"/>
          <a:ext cx="238125" cy="219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4</xdr:col>
      <xdr:colOff>209550</xdr:colOff>
      <xdr:row>24</xdr:row>
      <xdr:rowOff>47625</xdr:rowOff>
    </xdr:from>
    <xdr:to>
      <xdr:col>4</xdr:col>
      <xdr:colOff>447675</xdr:colOff>
      <xdr:row>24</xdr:row>
      <xdr:rowOff>266700</xdr:rowOff>
    </xdr:to>
    <xdr:sp macro="" textlink="">
      <xdr:nvSpPr>
        <xdr:cNvPr id="38" name="30 Rectángulo"/>
        <xdr:cNvSpPr/>
      </xdr:nvSpPr>
      <xdr:spPr>
        <a:xfrm>
          <a:off x="5324345" y="8098207"/>
          <a:ext cx="238125" cy="219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4</xdr:col>
      <xdr:colOff>209550</xdr:colOff>
      <xdr:row>12</xdr:row>
      <xdr:rowOff>47625</xdr:rowOff>
    </xdr:from>
    <xdr:to>
      <xdr:col>4</xdr:col>
      <xdr:colOff>447675</xdr:colOff>
      <xdr:row>12</xdr:row>
      <xdr:rowOff>266700</xdr:rowOff>
    </xdr:to>
    <xdr:sp macro="" textlink="">
      <xdr:nvSpPr>
        <xdr:cNvPr id="40" name="8 Rectángulo"/>
        <xdr:cNvSpPr/>
      </xdr:nvSpPr>
      <xdr:spPr>
        <a:xfrm>
          <a:off x="5345579" y="2942478"/>
          <a:ext cx="238125" cy="219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4</xdr:col>
      <xdr:colOff>209550</xdr:colOff>
      <xdr:row>13</xdr:row>
      <xdr:rowOff>47625</xdr:rowOff>
    </xdr:from>
    <xdr:to>
      <xdr:col>4</xdr:col>
      <xdr:colOff>447675</xdr:colOff>
      <xdr:row>13</xdr:row>
      <xdr:rowOff>266700</xdr:rowOff>
    </xdr:to>
    <xdr:sp macro="" textlink="">
      <xdr:nvSpPr>
        <xdr:cNvPr id="41" name="8 Rectángulo"/>
        <xdr:cNvSpPr/>
      </xdr:nvSpPr>
      <xdr:spPr>
        <a:xfrm>
          <a:off x="5345579" y="2942478"/>
          <a:ext cx="238125" cy="219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4</xdr:col>
      <xdr:colOff>209550</xdr:colOff>
      <xdr:row>14</xdr:row>
      <xdr:rowOff>47625</xdr:rowOff>
    </xdr:from>
    <xdr:to>
      <xdr:col>4</xdr:col>
      <xdr:colOff>447675</xdr:colOff>
      <xdr:row>14</xdr:row>
      <xdr:rowOff>266700</xdr:rowOff>
    </xdr:to>
    <xdr:sp macro="" textlink="">
      <xdr:nvSpPr>
        <xdr:cNvPr id="42" name="8 Rectángulo"/>
        <xdr:cNvSpPr/>
      </xdr:nvSpPr>
      <xdr:spPr>
        <a:xfrm>
          <a:off x="5345579" y="2942478"/>
          <a:ext cx="238125" cy="219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4</xdr:col>
      <xdr:colOff>205441</xdr:colOff>
      <xdr:row>15</xdr:row>
      <xdr:rowOff>37353</xdr:rowOff>
    </xdr:from>
    <xdr:to>
      <xdr:col>4</xdr:col>
      <xdr:colOff>443566</xdr:colOff>
      <xdr:row>15</xdr:row>
      <xdr:rowOff>256428</xdr:rowOff>
    </xdr:to>
    <xdr:sp macro="" textlink="">
      <xdr:nvSpPr>
        <xdr:cNvPr id="43" name="8 Rectángulo"/>
        <xdr:cNvSpPr/>
      </xdr:nvSpPr>
      <xdr:spPr>
        <a:xfrm>
          <a:off x="5341470" y="4127500"/>
          <a:ext cx="238125" cy="219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4</xdr:col>
      <xdr:colOff>209550</xdr:colOff>
      <xdr:row>27</xdr:row>
      <xdr:rowOff>47625</xdr:rowOff>
    </xdr:from>
    <xdr:to>
      <xdr:col>4</xdr:col>
      <xdr:colOff>447675</xdr:colOff>
      <xdr:row>27</xdr:row>
      <xdr:rowOff>266700</xdr:rowOff>
    </xdr:to>
    <xdr:sp macro="" textlink="">
      <xdr:nvSpPr>
        <xdr:cNvPr id="44" name="25 Rectángulo"/>
        <xdr:cNvSpPr/>
      </xdr:nvSpPr>
      <xdr:spPr>
        <a:xfrm>
          <a:off x="6055285" y="6640419"/>
          <a:ext cx="238125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4</xdr:col>
      <xdr:colOff>209550</xdr:colOff>
      <xdr:row>28</xdr:row>
      <xdr:rowOff>47625</xdr:rowOff>
    </xdr:from>
    <xdr:to>
      <xdr:col>4</xdr:col>
      <xdr:colOff>447675</xdr:colOff>
      <xdr:row>28</xdr:row>
      <xdr:rowOff>266700</xdr:rowOff>
    </xdr:to>
    <xdr:sp macro="" textlink="">
      <xdr:nvSpPr>
        <xdr:cNvPr id="45" name="30 Rectángulo"/>
        <xdr:cNvSpPr/>
      </xdr:nvSpPr>
      <xdr:spPr>
        <a:xfrm>
          <a:off x="6055285" y="6883213"/>
          <a:ext cx="238125" cy="219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4</xdr:col>
      <xdr:colOff>209550</xdr:colOff>
      <xdr:row>29</xdr:row>
      <xdr:rowOff>47625</xdr:rowOff>
    </xdr:from>
    <xdr:to>
      <xdr:col>4</xdr:col>
      <xdr:colOff>447675</xdr:colOff>
      <xdr:row>29</xdr:row>
      <xdr:rowOff>266700</xdr:rowOff>
    </xdr:to>
    <xdr:sp macro="" textlink="">
      <xdr:nvSpPr>
        <xdr:cNvPr id="46" name="30 Rectángulo"/>
        <xdr:cNvSpPr/>
      </xdr:nvSpPr>
      <xdr:spPr>
        <a:xfrm>
          <a:off x="6055285" y="7182037"/>
          <a:ext cx="238125" cy="219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4</xdr:col>
      <xdr:colOff>209550</xdr:colOff>
      <xdr:row>30</xdr:row>
      <xdr:rowOff>47625</xdr:rowOff>
    </xdr:from>
    <xdr:to>
      <xdr:col>4</xdr:col>
      <xdr:colOff>447675</xdr:colOff>
      <xdr:row>30</xdr:row>
      <xdr:rowOff>266700</xdr:rowOff>
    </xdr:to>
    <xdr:sp macro="" textlink="">
      <xdr:nvSpPr>
        <xdr:cNvPr id="47" name="30 Rectángulo"/>
        <xdr:cNvSpPr/>
      </xdr:nvSpPr>
      <xdr:spPr>
        <a:xfrm>
          <a:off x="6055285" y="8788213"/>
          <a:ext cx="238125" cy="219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9</xdr:col>
      <xdr:colOff>209550</xdr:colOff>
      <xdr:row>17</xdr:row>
      <xdr:rowOff>47625</xdr:rowOff>
    </xdr:from>
    <xdr:to>
      <xdr:col>9</xdr:col>
      <xdr:colOff>447675</xdr:colOff>
      <xdr:row>17</xdr:row>
      <xdr:rowOff>266700</xdr:rowOff>
    </xdr:to>
    <xdr:sp macro="" textlink="">
      <xdr:nvSpPr>
        <xdr:cNvPr id="48" name="9 Rectángulo"/>
        <xdr:cNvSpPr/>
      </xdr:nvSpPr>
      <xdr:spPr>
        <a:xfrm>
          <a:off x="12890874" y="2232772"/>
          <a:ext cx="238125" cy="219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9</xdr:col>
      <xdr:colOff>209550</xdr:colOff>
      <xdr:row>18</xdr:row>
      <xdr:rowOff>47625</xdr:rowOff>
    </xdr:from>
    <xdr:to>
      <xdr:col>9</xdr:col>
      <xdr:colOff>447675</xdr:colOff>
      <xdr:row>18</xdr:row>
      <xdr:rowOff>266700</xdr:rowOff>
    </xdr:to>
    <xdr:sp macro="" textlink="">
      <xdr:nvSpPr>
        <xdr:cNvPr id="49" name="10 Rectángulo"/>
        <xdr:cNvSpPr/>
      </xdr:nvSpPr>
      <xdr:spPr>
        <a:xfrm>
          <a:off x="12890874" y="2531596"/>
          <a:ext cx="238125" cy="219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9</xdr:col>
      <xdr:colOff>205441</xdr:colOff>
      <xdr:row>19</xdr:row>
      <xdr:rowOff>18677</xdr:rowOff>
    </xdr:from>
    <xdr:to>
      <xdr:col>9</xdr:col>
      <xdr:colOff>443566</xdr:colOff>
      <xdr:row>19</xdr:row>
      <xdr:rowOff>237752</xdr:rowOff>
    </xdr:to>
    <xdr:sp macro="" textlink="">
      <xdr:nvSpPr>
        <xdr:cNvPr id="50" name="10 Rectángulo"/>
        <xdr:cNvSpPr/>
      </xdr:nvSpPr>
      <xdr:spPr>
        <a:xfrm>
          <a:off x="12886765" y="3399118"/>
          <a:ext cx="238125" cy="219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9</xdr:col>
      <xdr:colOff>209550</xdr:colOff>
      <xdr:row>26</xdr:row>
      <xdr:rowOff>47625</xdr:rowOff>
    </xdr:from>
    <xdr:to>
      <xdr:col>9</xdr:col>
      <xdr:colOff>447675</xdr:colOff>
      <xdr:row>26</xdr:row>
      <xdr:rowOff>266700</xdr:rowOff>
    </xdr:to>
    <xdr:sp macro="" textlink="">
      <xdr:nvSpPr>
        <xdr:cNvPr id="51" name="11 Rectángulo"/>
        <xdr:cNvSpPr/>
      </xdr:nvSpPr>
      <xdr:spPr>
        <a:xfrm>
          <a:off x="12890874" y="5501154"/>
          <a:ext cx="238125" cy="219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9</xdr:col>
      <xdr:colOff>209550</xdr:colOff>
      <xdr:row>27</xdr:row>
      <xdr:rowOff>47625</xdr:rowOff>
    </xdr:from>
    <xdr:to>
      <xdr:col>9</xdr:col>
      <xdr:colOff>447675</xdr:colOff>
      <xdr:row>27</xdr:row>
      <xdr:rowOff>266700</xdr:rowOff>
    </xdr:to>
    <xdr:sp macro="" textlink="">
      <xdr:nvSpPr>
        <xdr:cNvPr id="52" name="16 Rectángulo"/>
        <xdr:cNvSpPr/>
      </xdr:nvSpPr>
      <xdr:spPr>
        <a:xfrm>
          <a:off x="12890874" y="5799978"/>
          <a:ext cx="238125" cy="219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9</xdr:col>
      <xdr:colOff>209550</xdr:colOff>
      <xdr:row>28</xdr:row>
      <xdr:rowOff>47625</xdr:rowOff>
    </xdr:from>
    <xdr:to>
      <xdr:col>9</xdr:col>
      <xdr:colOff>447675</xdr:colOff>
      <xdr:row>28</xdr:row>
      <xdr:rowOff>266700</xdr:rowOff>
    </xdr:to>
    <xdr:sp macro="" textlink="">
      <xdr:nvSpPr>
        <xdr:cNvPr id="53" name="18 Rectángulo"/>
        <xdr:cNvSpPr/>
      </xdr:nvSpPr>
      <xdr:spPr>
        <a:xfrm>
          <a:off x="12890874" y="6098801"/>
          <a:ext cx="238125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9</xdr:col>
      <xdr:colOff>209550</xdr:colOff>
      <xdr:row>28</xdr:row>
      <xdr:rowOff>47625</xdr:rowOff>
    </xdr:from>
    <xdr:to>
      <xdr:col>9</xdr:col>
      <xdr:colOff>447675</xdr:colOff>
      <xdr:row>28</xdr:row>
      <xdr:rowOff>266700</xdr:rowOff>
    </xdr:to>
    <xdr:sp macro="" textlink="">
      <xdr:nvSpPr>
        <xdr:cNvPr id="54" name="16 Rectángulo"/>
        <xdr:cNvSpPr/>
      </xdr:nvSpPr>
      <xdr:spPr>
        <a:xfrm>
          <a:off x="12890874" y="6098801"/>
          <a:ext cx="238125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9</xdr:col>
      <xdr:colOff>186765</xdr:colOff>
      <xdr:row>33</xdr:row>
      <xdr:rowOff>18677</xdr:rowOff>
    </xdr:from>
    <xdr:to>
      <xdr:col>9</xdr:col>
      <xdr:colOff>424890</xdr:colOff>
      <xdr:row>33</xdr:row>
      <xdr:rowOff>237752</xdr:rowOff>
    </xdr:to>
    <xdr:sp macro="" textlink="">
      <xdr:nvSpPr>
        <xdr:cNvPr id="61" name="20 Rectángulo"/>
        <xdr:cNvSpPr/>
      </xdr:nvSpPr>
      <xdr:spPr>
        <a:xfrm>
          <a:off x="13447059" y="8124265"/>
          <a:ext cx="238125" cy="219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9</xdr:col>
      <xdr:colOff>189754</xdr:colOff>
      <xdr:row>34</xdr:row>
      <xdr:rowOff>59019</xdr:rowOff>
    </xdr:from>
    <xdr:to>
      <xdr:col>9</xdr:col>
      <xdr:colOff>427879</xdr:colOff>
      <xdr:row>34</xdr:row>
      <xdr:rowOff>278094</xdr:rowOff>
    </xdr:to>
    <xdr:sp macro="" textlink="">
      <xdr:nvSpPr>
        <xdr:cNvPr id="62" name="20 Rectángulo"/>
        <xdr:cNvSpPr/>
      </xdr:nvSpPr>
      <xdr:spPr>
        <a:xfrm>
          <a:off x="13450048" y="8407401"/>
          <a:ext cx="238125" cy="219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9</xdr:col>
      <xdr:colOff>209550</xdr:colOff>
      <xdr:row>37</xdr:row>
      <xdr:rowOff>47625</xdr:rowOff>
    </xdr:from>
    <xdr:to>
      <xdr:col>9</xdr:col>
      <xdr:colOff>447675</xdr:colOff>
      <xdr:row>37</xdr:row>
      <xdr:rowOff>266700</xdr:rowOff>
    </xdr:to>
    <xdr:sp macro="" textlink="">
      <xdr:nvSpPr>
        <xdr:cNvPr id="63" name="12 Rectángulo"/>
        <xdr:cNvSpPr/>
      </xdr:nvSpPr>
      <xdr:spPr>
        <a:xfrm>
          <a:off x="6055285" y="5501154"/>
          <a:ext cx="238125" cy="219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9</xdr:col>
      <xdr:colOff>209550</xdr:colOff>
      <xdr:row>38</xdr:row>
      <xdr:rowOff>47625</xdr:rowOff>
    </xdr:from>
    <xdr:to>
      <xdr:col>9</xdr:col>
      <xdr:colOff>447675</xdr:colOff>
      <xdr:row>38</xdr:row>
      <xdr:rowOff>266700</xdr:rowOff>
    </xdr:to>
    <xdr:sp macro="" textlink="">
      <xdr:nvSpPr>
        <xdr:cNvPr id="64" name="13 Rectángulo"/>
        <xdr:cNvSpPr/>
      </xdr:nvSpPr>
      <xdr:spPr>
        <a:xfrm>
          <a:off x="6055285" y="5799978"/>
          <a:ext cx="238125" cy="219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4</xdr:col>
      <xdr:colOff>186764</xdr:colOff>
      <xdr:row>33</xdr:row>
      <xdr:rowOff>18677</xdr:rowOff>
    </xdr:from>
    <xdr:to>
      <xdr:col>4</xdr:col>
      <xdr:colOff>424889</xdr:colOff>
      <xdr:row>33</xdr:row>
      <xdr:rowOff>237752</xdr:rowOff>
    </xdr:to>
    <xdr:sp macro="" textlink="">
      <xdr:nvSpPr>
        <xdr:cNvPr id="65" name="30 Rectángulo"/>
        <xdr:cNvSpPr/>
      </xdr:nvSpPr>
      <xdr:spPr>
        <a:xfrm>
          <a:off x="6032499" y="10496177"/>
          <a:ext cx="238125" cy="219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4</xdr:col>
      <xdr:colOff>186764</xdr:colOff>
      <xdr:row>34</xdr:row>
      <xdr:rowOff>56029</xdr:rowOff>
    </xdr:from>
    <xdr:to>
      <xdr:col>4</xdr:col>
      <xdr:colOff>424889</xdr:colOff>
      <xdr:row>35</xdr:row>
      <xdr:rowOff>32310</xdr:rowOff>
    </xdr:to>
    <xdr:sp macro="" textlink="">
      <xdr:nvSpPr>
        <xdr:cNvPr id="66" name="30 Rectángulo"/>
        <xdr:cNvSpPr/>
      </xdr:nvSpPr>
      <xdr:spPr>
        <a:xfrm>
          <a:off x="6032499" y="10776323"/>
          <a:ext cx="238125" cy="219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4</xdr:col>
      <xdr:colOff>186765</xdr:colOff>
      <xdr:row>35</xdr:row>
      <xdr:rowOff>37352</xdr:rowOff>
    </xdr:from>
    <xdr:to>
      <xdr:col>4</xdr:col>
      <xdr:colOff>424890</xdr:colOff>
      <xdr:row>36</xdr:row>
      <xdr:rowOff>13633</xdr:rowOff>
    </xdr:to>
    <xdr:sp macro="" textlink="">
      <xdr:nvSpPr>
        <xdr:cNvPr id="67" name="30 Rectángulo"/>
        <xdr:cNvSpPr/>
      </xdr:nvSpPr>
      <xdr:spPr>
        <a:xfrm>
          <a:off x="6032500" y="11000440"/>
          <a:ext cx="238125" cy="219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4</xdr:col>
      <xdr:colOff>186765</xdr:colOff>
      <xdr:row>36</xdr:row>
      <xdr:rowOff>74706</xdr:rowOff>
    </xdr:from>
    <xdr:to>
      <xdr:col>4</xdr:col>
      <xdr:colOff>424890</xdr:colOff>
      <xdr:row>37</xdr:row>
      <xdr:rowOff>50987</xdr:rowOff>
    </xdr:to>
    <xdr:sp macro="" textlink="">
      <xdr:nvSpPr>
        <xdr:cNvPr id="68" name="30 Rectángulo"/>
        <xdr:cNvSpPr/>
      </xdr:nvSpPr>
      <xdr:spPr>
        <a:xfrm>
          <a:off x="6032500" y="11280588"/>
          <a:ext cx="238125" cy="219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9</xdr:col>
      <xdr:colOff>209550</xdr:colOff>
      <xdr:row>8</xdr:row>
      <xdr:rowOff>47625</xdr:rowOff>
    </xdr:from>
    <xdr:to>
      <xdr:col>9</xdr:col>
      <xdr:colOff>447675</xdr:colOff>
      <xdr:row>8</xdr:row>
      <xdr:rowOff>266700</xdr:rowOff>
    </xdr:to>
    <xdr:sp macro="" textlink="">
      <xdr:nvSpPr>
        <xdr:cNvPr id="69" name="9 Rectángulo"/>
        <xdr:cNvSpPr/>
      </xdr:nvSpPr>
      <xdr:spPr>
        <a:xfrm>
          <a:off x="13469844" y="4492625"/>
          <a:ext cx="238125" cy="219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9</xdr:col>
      <xdr:colOff>209550</xdr:colOff>
      <xdr:row>9</xdr:row>
      <xdr:rowOff>47625</xdr:rowOff>
    </xdr:from>
    <xdr:to>
      <xdr:col>9</xdr:col>
      <xdr:colOff>447675</xdr:colOff>
      <xdr:row>9</xdr:row>
      <xdr:rowOff>266700</xdr:rowOff>
    </xdr:to>
    <xdr:sp macro="" textlink="">
      <xdr:nvSpPr>
        <xdr:cNvPr id="70" name="10 Rectángulo"/>
        <xdr:cNvSpPr/>
      </xdr:nvSpPr>
      <xdr:spPr>
        <a:xfrm>
          <a:off x="13469844" y="4791449"/>
          <a:ext cx="238125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9</xdr:col>
      <xdr:colOff>209550</xdr:colOff>
      <xdr:row>10</xdr:row>
      <xdr:rowOff>47625</xdr:rowOff>
    </xdr:from>
    <xdr:to>
      <xdr:col>9</xdr:col>
      <xdr:colOff>447675</xdr:colOff>
      <xdr:row>10</xdr:row>
      <xdr:rowOff>266700</xdr:rowOff>
    </xdr:to>
    <xdr:sp macro="" textlink="">
      <xdr:nvSpPr>
        <xdr:cNvPr id="71" name="9 Rectángulo"/>
        <xdr:cNvSpPr/>
      </xdr:nvSpPr>
      <xdr:spPr>
        <a:xfrm>
          <a:off x="13469844" y="5034243"/>
          <a:ext cx="238125" cy="219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9</xdr:col>
      <xdr:colOff>209550</xdr:colOff>
      <xdr:row>11</xdr:row>
      <xdr:rowOff>47625</xdr:rowOff>
    </xdr:from>
    <xdr:to>
      <xdr:col>9</xdr:col>
      <xdr:colOff>447675</xdr:colOff>
      <xdr:row>11</xdr:row>
      <xdr:rowOff>266700</xdr:rowOff>
    </xdr:to>
    <xdr:sp macro="" textlink="">
      <xdr:nvSpPr>
        <xdr:cNvPr id="72" name="10 Rectángulo"/>
        <xdr:cNvSpPr/>
      </xdr:nvSpPr>
      <xdr:spPr>
        <a:xfrm>
          <a:off x="13469844" y="5482478"/>
          <a:ext cx="238125" cy="219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9</xdr:col>
      <xdr:colOff>205441</xdr:colOff>
      <xdr:row>12</xdr:row>
      <xdr:rowOff>18677</xdr:rowOff>
    </xdr:from>
    <xdr:to>
      <xdr:col>9</xdr:col>
      <xdr:colOff>443566</xdr:colOff>
      <xdr:row>12</xdr:row>
      <xdr:rowOff>237752</xdr:rowOff>
    </xdr:to>
    <xdr:sp macro="" textlink="">
      <xdr:nvSpPr>
        <xdr:cNvPr id="73" name="10 Rectángulo"/>
        <xdr:cNvSpPr/>
      </xdr:nvSpPr>
      <xdr:spPr>
        <a:xfrm>
          <a:off x="13465735" y="5752353"/>
          <a:ext cx="238125" cy="219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arte%20financiera\Amande%20Centro%20de%20Masaje%20y%20Relajacion%20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yela/Desktop/MODELO%20ADECUADO/PLAN%20DE%20NEGOCIOS%20%20picanteria%20Lui%20ken%20QUEDA%20PARA%20EXPOSIC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ORGANIGRAMA"/>
      <sheetName val="CROQUIS"/>
      <sheetName val="LOCALIZACION"/>
      <sheetName val="MUESTRA"/>
      <sheetName val="INVERSION TOTAL"/>
      <sheetName val="FINANCIAMIENTO"/>
      <sheetName val="AMORTIZACION DE CREDITO"/>
      <sheetName val="INGRESO POR VENTAS"/>
      <sheetName val="PLANILLA DE EMPLEADOS"/>
      <sheetName val="GASTOS INDIRECTOS"/>
      <sheetName val="DEPRECIACION DE EQUIPOS"/>
      <sheetName val="PRESUPUESTO DE GASTOS"/>
      <sheetName val="ESTADO DE GANACIAS Y PERDIDAS"/>
      <sheetName val="BALANCE GENERAL"/>
      <sheetName val="FLUJO DE CAJA ECON FINANCI"/>
      <sheetName val="EVALUACION COSTO BENEFICIO"/>
      <sheetName val="COSTO VARIABLE UNITARIO"/>
      <sheetName val="PUNTO DE EQUILIBRIO"/>
      <sheetName val="PRINCIPALES RATIOS"/>
      <sheetName val="CUADROS DE RATIOS"/>
      <sheetName val="ENCUESTA 1"/>
      <sheetName val="ENCUESTA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>
        <row r="24">
          <cell r="D24">
            <v>4339</v>
          </cell>
          <cell r="E24">
            <v>4339</v>
          </cell>
          <cell r="F24">
            <v>4339</v>
          </cell>
          <cell r="G24">
            <v>4339</v>
          </cell>
          <cell r="H24">
            <v>4339</v>
          </cell>
          <cell r="I24">
            <v>4339</v>
          </cell>
          <cell r="J24">
            <v>4339</v>
          </cell>
          <cell r="K24">
            <v>4339</v>
          </cell>
        </row>
      </sheetData>
      <sheetData sheetId="15"/>
      <sheetData sheetId="16" refreshError="1"/>
      <sheetData sheetId="17" refreshError="1"/>
      <sheetData sheetId="18" refreshError="1"/>
      <sheetData sheetId="19">
        <row r="26">
          <cell r="C26" t="str">
            <v>1ER TRIMESTRE</v>
          </cell>
        </row>
      </sheetData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VERSION TOTAL"/>
      <sheetName val="FINANCIAMIENTO"/>
      <sheetName val="AMORTIZACION DE CREDITO"/>
      <sheetName val="INGRESO POR VENTAS"/>
      <sheetName val="PLANILLA DE EMPLEADOS"/>
      <sheetName val="Tarifas Servicios"/>
      <sheetName val="GASTOS INDIRECTOS"/>
      <sheetName val="DEPRECIACION"/>
      <sheetName val="PRESUPUESTO DE GASTOS"/>
      <sheetName val="ESTADO DE GANACIAS Y PERDIDAS"/>
      <sheetName val="BALANCE GENERAL"/>
      <sheetName val="FLUJO DE CAJA ECON FINANCI"/>
      <sheetName val="COSTO BENEFICIO"/>
      <sheetName val="Costos unitarios platos"/>
      <sheetName val="PUNTO DE EQUILIBRIO"/>
      <sheetName val="PU TRAM. ADUAN."/>
      <sheetName val="PRINCIPALES RATIOS"/>
      <sheetName val="CUADROS DE RATIOS"/>
      <sheetName val="INDICE DE RENTAB"/>
      <sheetName val="PRI"/>
      <sheetName val="LOCALIZACION"/>
      <sheetName val="CROQUIS"/>
      <sheetName val="ORGANIGRAMA"/>
      <sheetName val="Hoja1"/>
      <sheetName val="Hoja2"/>
      <sheetName val="Encuesta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3">
          <cell r="N33" t="str">
            <v>¿Le gustaría que exista una anfitriona en el local, que lo reciba y ubique en su mesa?</v>
          </cell>
        </row>
        <row r="34">
          <cell r="N34" t="str">
            <v>a) Si</v>
          </cell>
          <cell r="O34">
            <v>45</v>
          </cell>
        </row>
        <row r="35">
          <cell r="N35" t="str">
            <v>b) No</v>
          </cell>
          <cell r="O35">
            <v>3</v>
          </cell>
        </row>
      </sheetData>
      <sheetData sheetId="26"/>
      <sheetData sheetId="27"/>
    </sheetDataSet>
  </externalBook>
</externalLink>
</file>

<file path=xl/theme/theme1.xml><?xml version="1.0" encoding="utf-8"?>
<a:theme xmlns:a="http://schemas.openxmlformats.org/drawingml/2006/main" name="Faceta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Faceta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a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4.w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3.wmf"/><Relationship Id="rId4" Type="http://schemas.openxmlformats.org/officeDocument/2006/relationships/oleObject" Target="../embeddings/oleObject2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5.wmf"/><Relationship Id="rId4" Type="http://schemas.openxmlformats.org/officeDocument/2006/relationships/oleObject" Target="../embeddings/oleObject4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Relationship Id="rId4" Type="http://schemas.openxmlformats.org/officeDocument/2006/relationships/image" Target="../media/image2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</sheetPr>
  <dimension ref="A2:J14"/>
  <sheetViews>
    <sheetView showGridLines="0" tabSelected="1" workbookViewId="0"/>
  </sheetViews>
  <sheetFormatPr baseColWidth="10" defaultRowHeight="16.5" x14ac:dyDescent="0.3"/>
  <cols>
    <col min="2" max="2" width="4.625" customWidth="1"/>
    <col min="5" max="5" width="8.875" customWidth="1"/>
    <col min="6" max="6" width="5.625" customWidth="1"/>
    <col min="8" max="8" width="16.375" customWidth="1"/>
  </cols>
  <sheetData>
    <row r="2" spans="1:10" ht="18.75" customHeight="1" x14ac:dyDescent="0.3">
      <c r="A2" s="362"/>
      <c r="B2" s="641" t="s">
        <v>464</v>
      </c>
      <c r="C2" s="641"/>
      <c r="D2" s="641"/>
      <c r="E2" s="641"/>
      <c r="F2" s="641"/>
      <c r="G2" s="641"/>
      <c r="H2" s="641"/>
      <c r="I2" s="641"/>
      <c r="J2" s="362"/>
    </row>
    <row r="4" spans="1:10" x14ac:dyDescent="0.3">
      <c r="B4" s="517">
        <v>1</v>
      </c>
      <c r="C4" s="513" t="s">
        <v>451</v>
      </c>
      <c r="D4" s="513"/>
      <c r="F4" s="516">
        <v>12</v>
      </c>
      <c r="G4" t="s">
        <v>458</v>
      </c>
    </row>
    <row r="5" spans="1:10" x14ac:dyDescent="0.3">
      <c r="B5" s="516">
        <v>2</v>
      </c>
      <c r="C5" t="s">
        <v>452</v>
      </c>
      <c r="F5" s="516">
        <v>13</v>
      </c>
      <c r="G5" t="s">
        <v>246</v>
      </c>
    </row>
    <row r="6" spans="1:10" x14ac:dyDescent="0.3">
      <c r="B6" s="516">
        <v>3</v>
      </c>
      <c r="C6" t="s">
        <v>0</v>
      </c>
      <c r="F6" s="516">
        <v>14</v>
      </c>
      <c r="G6" t="s">
        <v>459</v>
      </c>
    </row>
    <row r="7" spans="1:10" x14ac:dyDescent="0.3">
      <c r="B7" s="516">
        <v>4</v>
      </c>
      <c r="C7" t="s">
        <v>1</v>
      </c>
      <c r="F7" s="516">
        <v>15</v>
      </c>
      <c r="G7" t="s">
        <v>278</v>
      </c>
    </row>
    <row r="8" spans="1:10" x14ac:dyDescent="0.3">
      <c r="B8" s="516">
        <v>5</v>
      </c>
      <c r="C8" t="s">
        <v>453</v>
      </c>
      <c r="F8" s="516">
        <v>16</v>
      </c>
      <c r="G8" t="s">
        <v>460</v>
      </c>
    </row>
    <row r="9" spans="1:10" x14ac:dyDescent="0.3">
      <c r="B9" s="516">
        <v>6</v>
      </c>
      <c r="C9" t="s">
        <v>133</v>
      </c>
      <c r="F9" s="516">
        <v>17</v>
      </c>
      <c r="G9" t="s">
        <v>461</v>
      </c>
    </row>
    <row r="10" spans="1:10" x14ac:dyDescent="0.3">
      <c r="B10" s="516">
        <v>7</v>
      </c>
      <c r="C10" t="s">
        <v>454</v>
      </c>
      <c r="F10" s="516">
        <v>18</v>
      </c>
      <c r="G10" t="s">
        <v>342</v>
      </c>
    </row>
    <row r="11" spans="1:10" x14ac:dyDescent="0.3">
      <c r="B11" s="516">
        <v>8</v>
      </c>
      <c r="C11" t="s">
        <v>431</v>
      </c>
      <c r="F11" s="516">
        <v>19</v>
      </c>
      <c r="G11" t="s">
        <v>462</v>
      </c>
    </row>
    <row r="12" spans="1:10" x14ac:dyDescent="0.3">
      <c r="B12" s="516">
        <v>9</v>
      </c>
      <c r="C12" t="s">
        <v>455</v>
      </c>
      <c r="F12" s="516">
        <v>20</v>
      </c>
      <c r="G12" t="s">
        <v>399</v>
      </c>
    </row>
    <row r="13" spans="1:10" x14ac:dyDescent="0.3">
      <c r="B13" s="516">
        <v>10</v>
      </c>
      <c r="C13" t="s">
        <v>456</v>
      </c>
      <c r="F13" s="516">
        <v>21</v>
      </c>
      <c r="G13" t="s">
        <v>463</v>
      </c>
    </row>
    <row r="14" spans="1:10" x14ac:dyDescent="0.3">
      <c r="B14" s="516">
        <v>11</v>
      </c>
      <c r="C14" t="s">
        <v>457</v>
      </c>
      <c r="F14" s="516">
        <v>22</v>
      </c>
      <c r="G14" t="s">
        <v>653</v>
      </c>
    </row>
  </sheetData>
  <mergeCells count="1">
    <mergeCell ref="B2:I2"/>
  </mergeCells>
  <hyperlinks>
    <hyperlink ref="B4" location="ORGANIGRAMA!A1" display="ORGANIGRAMA!A1"/>
    <hyperlink ref="B5" location="CROQUIS!A1" display="CROQUIS!A1"/>
    <hyperlink ref="B6" location="LOCALIZACION!A1" display="LOCALIZACION!A1"/>
    <hyperlink ref="B7" location="MUESTRA!A1" display="MUESTRA!A1"/>
    <hyperlink ref="B8" location="'INVERSION TOTAL'!A1" display="'INVERSION TOTAL'!A1"/>
    <hyperlink ref="B9" location="'COSTO DE PRODUCCION'!A1" display="'COSTO DE PRODUCCION'!A1"/>
    <hyperlink ref="B10" location="FINANCIAMIENTO!A1" display="FINANCIAMIENTO!A1"/>
    <hyperlink ref="B11" location="AMORTIZACION!A1" display="AMORTIZACION!A1"/>
    <hyperlink ref="B12" location="'INGRESOS POR VENTA'!A1" display="'INGRESOS POR VENTA'!A1"/>
    <hyperlink ref="B13" location="PLANILLA!A1" display="PLANILLA!A1"/>
    <hyperlink ref="B14" location="'GASTOS INDIRECTOS'!A1" display="'GASTOS INDIRECTOS'!A1"/>
    <hyperlink ref="F4" location="'DEPRECIACION DE EQUIPOS'!A1" display="'DEPRECIACION DE EQUIPOS'!A1"/>
    <hyperlink ref="F5" location="'PRESUPUESTO DE GASTOS'!A1" display="'PRESUPUESTO DE GASTOS'!A1"/>
    <hyperlink ref="F6" location="'ESTADO DE GANANCIAS Y PERDIDAS'!A1" display="'ESTADO DE GANANCIAS Y PERDIDAS'!A1"/>
    <hyperlink ref="F7" location="'BALANCE GENERAL'!A1" display="'BALANCE GENERAL'!A1"/>
    <hyperlink ref="F8" location="'FLUJO DE CAJA ECON FINAN'!A1" display="'FLUJO DE CAJA ECON FINAN'!A1"/>
    <hyperlink ref="F9" location="'EVALUACION COSTO BENEFICIO'!A1" display="'EVALUACION COSTO BENEFICIO'!A1"/>
    <hyperlink ref="F10" location="'PUNTO DE EQUILIBRIO'!A1" display="'PUNTO DE EQUILIBRIO'!A1"/>
    <hyperlink ref="F11" location="'PRINCIPALES RATIOS'!A1" display="'PRINCIPALES RATIOS'!A1"/>
    <hyperlink ref="F12" location="'CUADRO DE RATIOS'!A1" display="'CUADRO DE RATIOS'!A1"/>
    <hyperlink ref="F13" location="ENCUESTA!A1" display="ENCUESTA!A1"/>
    <hyperlink ref="F14" location="ENCUESTA1!A1" display="ENCUESTA1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</sheetPr>
  <dimension ref="A1:AB62"/>
  <sheetViews>
    <sheetView zoomScale="90" zoomScaleNormal="90" workbookViewId="0"/>
  </sheetViews>
  <sheetFormatPr baseColWidth="10" defaultRowHeight="15" x14ac:dyDescent="0.3"/>
  <cols>
    <col min="1" max="1" width="11" style="121"/>
    <col min="2" max="2" width="2.875" style="121" customWidth="1"/>
    <col min="3" max="3" width="30.625" style="121" customWidth="1"/>
    <col min="4" max="4" width="7.875" style="119" bestFit="1" customWidth="1"/>
    <col min="5" max="28" width="11.75" style="119" bestFit="1" customWidth="1"/>
    <col min="29" max="16384" width="11" style="121"/>
  </cols>
  <sheetData>
    <row r="1" spans="1:28" ht="16.5" x14ac:dyDescent="0.3">
      <c r="A1" s="514" t="s">
        <v>464</v>
      </c>
    </row>
    <row r="3" spans="1:28" ht="21" x14ac:dyDescent="0.35">
      <c r="C3" s="612" t="s">
        <v>455</v>
      </c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</row>
    <row r="4" spans="1:28" ht="16.5" x14ac:dyDescent="0.3">
      <c r="C4" s="611" t="s">
        <v>167</v>
      </c>
      <c r="D4" s="611"/>
      <c r="F4" s="120"/>
    </row>
    <row r="6" spans="1:28" s="122" customFormat="1" ht="30" x14ac:dyDescent="0.3">
      <c r="B6" s="133" t="s">
        <v>195</v>
      </c>
      <c r="C6" s="134" t="s">
        <v>132</v>
      </c>
      <c r="D6" s="134" t="s">
        <v>168</v>
      </c>
      <c r="E6" s="134" t="s">
        <v>169</v>
      </c>
      <c r="F6" s="134" t="s">
        <v>170</v>
      </c>
      <c r="G6" s="134" t="s">
        <v>171</v>
      </c>
      <c r="H6" s="134" t="s">
        <v>172</v>
      </c>
      <c r="I6" s="134" t="s">
        <v>173</v>
      </c>
      <c r="J6" s="134" t="s">
        <v>174</v>
      </c>
      <c r="K6" s="134" t="s">
        <v>175</v>
      </c>
      <c r="L6" s="134" t="s">
        <v>176</v>
      </c>
      <c r="M6" s="134" t="s">
        <v>177</v>
      </c>
      <c r="N6" s="134" t="s">
        <v>178</v>
      </c>
      <c r="O6" s="134" t="s">
        <v>179</v>
      </c>
      <c r="P6" s="134" t="s">
        <v>180</v>
      </c>
      <c r="Q6" s="134" t="s">
        <v>181</v>
      </c>
      <c r="R6" s="134" t="s">
        <v>182</v>
      </c>
      <c r="S6" s="134" t="s">
        <v>183</v>
      </c>
      <c r="T6" s="134" t="s">
        <v>184</v>
      </c>
      <c r="U6" s="134" t="s">
        <v>185</v>
      </c>
      <c r="V6" s="134" t="s">
        <v>186</v>
      </c>
      <c r="W6" s="134" t="s">
        <v>187</v>
      </c>
      <c r="X6" s="134" t="s">
        <v>188</v>
      </c>
      <c r="Y6" s="134" t="s">
        <v>189</v>
      </c>
      <c r="Z6" s="134" t="s">
        <v>190</v>
      </c>
      <c r="AA6" s="134" t="s">
        <v>191</v>
      </c>
      <c r="AB6" s="134"/>
    </row>
    <row r="7" spans="1:28" s="122" customFormat="1" x14ac:dyDescent="0.2">
      <c r="A7" s="131" t="s">
        <v>196</v>
      </c>
      <c r="B7" s="91">
        <v>1</v>
      </c>
      <c r="C7" s="100" t="s">
        <v>103</v>
      </c>
      <c r="D7" s="99">
        <f>+'COSTO DE PRODUCCION'!W50</f>
        <v>2160</v>
      </c>
      <c r="E7" s="99">
        <v>2165</v>
      </c>
      <c r="F7" s="124">
        <v>2164</v>
      </c>
      <c r="G7" s="124">
        <v>2165</v>
      </c>
      <c r="H7" s="124">
        <v>2164</v>
      </c>
      <c r="I7" s="124">
        <v>2167</v>
      </c>
      <c r="J7" s="124">
        <v>2182</v>
      </c>
      <c r="K7" s="99">
        <v>2165</v>
      </c>
      <c r="L7" s="124">
        <v>2164</v>
      </c>
      <c r="M7" s="124">
        <v>2165</v>
      </c>
      <c r="N7" s="124">
        <v>2164</v>
      </c>
      <c r="O7" s="124">
        <v>2182</v>
      </c>
      <c r="P7" s="99">
        <v>2165</v>
      </c>
      <c r="Q7" s="124">
        <v>2164</v>
      </c>
      <c r="R7" s="124">
        <v>2165</v>
      </c>
      <c r="S7" s="124">
        <v>2164</v>
      </c>
      <c r="T7" s="124">
        <v>2167</v>
      </c>
      <c r="U7" s="124">
        <v>2182</v>
      </c>
      <c r="V7" s="124">
        <v>2182</v>
      </c>
      <c r="W7" s="124">
        <v>2164</v>
      </c>
      <c r="X7" s="124">
        <v>2165</v>
      </c>
      <c r="Y7" s="124">
        <v>2164</v>
      </c>
      <c r="Z7" s="124">
        <v>2167</v>
      </c>
      <c r="AA7" s="124">
        <v>2182</v>
      </c>
      <c r="AB7" s="132"/>
    </row>
    <row r="8" spans="1:28" s="122" customFormat="1" x14ac:dyDescent="0.3">
      <c r="A8" s="131" t="s">
        <v>197</v>
      </c>
      <c r="B8" s="91">
        <v>2</v>
      </c>
      <c r="C8" s="102" t="s">
        <v>118</v>
      </c>
      <c r="D8" s="99">
        <f>+'COSTO DE PRODUCCION'!W51</f>
        <v>216</v>
      </c>
      <c r="E8" s="99">
        <v>218</v>
      </c>
      <c r="F8" s="124">
        <v>220</v>
      </c>
      <c r="G8" s="124">
        <v>218</v>
      </c>
      <c r="H8" s="124">
        <v>219</v>
      </c>
      <c r="I8" s="124">
        <v>220</v>
      </c>
      <c r="J8" s="124">
        <v>224</v>
      </c>
      <c r="K8" s="99">
        <v>218</v>
      </c>
      <c r="L8" s="124">
        <v>220</v>
      </c>
      <c r="M8" s="124">
        <v>218</v>
      </c>
      <c r="N8" s="124">
        <v>219</v>
      </c>
      <c r="O8" s="124">
        <v>224</v>
      </c>
      <c r="P8" s="99">
        <v>218</v>
      </c>
      <c r="Q8" s="124">
        <v>220</v>
      </c>
      <c r="R8" s="124">
        <v>218</v>
      </c>
      <c r="S8" s="124">
        <v>219</v>
      </c>
      <c r="T8" s="124">
        <v>220</v>
      </c>
      <c r="U8" s="124">
        <v>224</v>
      </c>
      <c r="V8" s="124">
        <v>224</v>
      </c>
      <c r="W8" s="124">
        <v>220</v>
      </c>
      <c r="X8" s="124">
        <v>218</v>
      </c>
      <c r="Y8" s="124">
        <v>219</v>
      </c>
      <c r="Z8" s="124">
        <v>220</v>
      </c>
      <c r="AA8" s="124">
        <v>224</v>
      </c>
      <c r="AB8" s="132"/>
    </row>
    <row r="9" spans="1:28" s="122" customFormat="1" x14ac:dyDescent="0.3">
      <c r="A9" s="131" t="s">
        <v>197</v>
      </c>
      <c r="B9" s="91">
        <v>3</v>
      </c>
      <c r="C9" s="102" t="s">
        <v>120</v>
      </c>
      <c r="D9" s="99">
        <f>+'COSTO DE PRODUCCION'!W52</f>
        <v>180</v>
      </c>
      <c r="E9" s="99">
        <v>182</v>
      </c>
      <c r="F9" s="123">
        <v>180</v>
      </c>
      <c r="G9" s="123">
        <v>184</v>
      </c>
      <c r="H9" s="123">
        <v>182</v>
      </c>
      <c r="I9" s="123">
        <v>180</v>
      </c>
      <c r="J9" s="123">
        <v>184</v>
      </c>
      <c r="K9" s="99">
        <v>182</v>
      </c>
      <c r="L9" s="123">
        <v>180</v>
      </c>
      <c r="M9" s="123">
        <v>184</v>
      </c>
      <c r="N9" s="123">
        <v>182</v>
      </c>
      <c r="O9" s="123">
        <v>184</v>
      </c>
      <c r="P9" s="99">
        <v>182</v>
      </c>
      <c r="Q9" s="123">
        <v>180</v>
      </c>
      <c r="R9" s="123">
        <v>184</v>
      </c>
      <c r="S9" s="123">
        <v>182</v>
      </c>
      <c r="T9" s="123">
        <v>180</v>
      </c>
      <c r="U9" s="123">
        <v>184</v>
      </c>
      <c r="V9" s="123">
        <v>184</v>
      </c>
      <c r="W9" s="123">
        <v>180</v>
      </c>
      <c r="X9" s="123">
        <v>184</v>
      </c>
      <c r="Y9" s="123">
        <v>182</v>
      </c>
      <c r="Z9" s="123">
        <v>180</v>
      </c>
      <c r="AA9" s="123">
        <v>184</v>
      </c>
      <c r="AB9" s="132"/>
    </row>
    <row r="10" spans="1:28" s="122" customFormat="1" x14ac:dyDescent="0.3">
      <c r="A10" s="131" t="s">
        <v>197</v>
      </c>
      <c r="B10" s="91">
        <v>4</v>
      </c>
      <c r="C10" s="102" t="s">
        <v>121</v>
      </c>
      <c r="D10" s="99">
        <f>+'COSTO DE PRODUCCION'!W53</f>
        <v>72</v>
      </c>
      <c r="E10" s="99">
        <v>74</v>
      </c>
      <c r="F10" s="123">
        <v>75</v>
      </c>
      <c r="G10" s="123">
        <v>70</v>
      </c>
      <c r="H10" s="123">
        <v>74</v>
      </c>
      <c r="I10" s="123">
        <v>75</v>
      </c>
      <c r="J10" s="123">
        <v>74</v>
      </c>
      <c r="K10" s="99">
        <v>74</v>
      </c>
      <c r="L10" s="123">
        <v>75</v>
      </c>
      <c r="M10" s="123">
        <v>70</v>
      </c>
      <c r="N10" s="123">
        <v>74</v>
      </c>
      <c r="O10" s="123">
        <v>74</v>
      </c>
      <c r="P10" s="99">
        <v>74</v>
      </c>
      <c r="Q10" s="123">
        <v>75</v>
      </c>
      <c r="R10" s="123">
        <v>70</v>
      </c>
      <c r="S10" s="123">
        <v>74</v>
      </c>
      <c r="T10" s="123">
        <v>75</v>
      </c>
      <c r="U10" s="123">
        <v>74</v>
      </c>
      <c r="V10" s="123">
        <v>74</v>
      </c>
      <c r="W10" s="123">
        <v>75</v>
      </c>
      <c r="X10" s="123">
        <v>70</v>
      </c>
      <c r="Y10" s="123">
        <v>74</v>
      </c>
      <c r="Z10" s="123">
        <v>75</v>
      </c>
      <c r="AA10" s="123">
        <v>74</v>
      </c>
      <c r="AB10" s="132"/>
    </row>
    <row r="11" spans="1:28" s="122" customFormat="1" x14ac:dyDescent="0.3">
      <c r="A11" s="131" t="s">
        <v>197</v>
      </c>
      <c r="B11" s="91">
        <v>5</v>
      </c>
      <c r="C11" s="102" t="s">
        <v>122</v>
      </c>
      <c r="D11" s="99">
        <f>+'COSTO DE PRODUCCION'!W54</f>
        <v>120</v>
      </c>
      <c r="E11" s="99">
        <v>122</v>
      </c>
      <c r="F11" s="123">
        <v>124</v>
      </c>
      <c r="G11" s="123">
        <v>125</v>
      </c>
      <c r="H11" s="123">
        <v>123</v>
      </c>
      <c r="I11" s="123">
        <v>124</v>
      </c>
      <c r="J11" s="123">
        <v>126</v>
      </c>
      <c r="K11" s="99">
        <v>122</v>
      </c>
      <c r="L11" s="123">
        <v>124</v>
      </c>
      <c r="M11" s="123">
        <v>125</v>
      </c>
      <c r="N11" s="123">
        <v>123</v>
      </c>
      <c r="O11" s="123">
        <v>126</v>
      </c>
      <c r="P11" s="99">
        <v>122</v>
      </c>
      <c r="Q11" s="123">
        <v>124</v>
      </c>
      <c r="R11" s="123">
        <v>125</v>
      </c>
      <c r="S11" s="123">
        <v>123</v>
      </c>
      <c r="T11" s="123">
        <v>124</v>
      </c>
      <c r="U11" s="123">
        <v>126</v>
      </c>
      <c r="V11" s="123">
        <v>126</v>
      </c>
      <c r="W11" s="123">
        <v>124</v>
      </c>
      <c r="X11" s="123">
        <v>125</v>
      </c>
      <c r="Y11" s="123">
        <v>123</v>
      </c>
      <c r="Z11" s="123">
        <v>124</v>
      </c>
      <c r="AA11" s="123">
        <v>126</v>
      </c>
      <c r="AB11" s="132"/>
    </row>
    <row r="12" spans="1:28" s="122" customFormat="1" x14ac:dyDescent="0.3">
      <c r="A12" s="131" t="s">
        <v>197</v>
      </c>
      <c r="B12" s="91">
        <v>6</v>
      </c>
      <c r="C12" s="102" t="s">
        <v>123</v>
      </c>
      <c r="D12" s="99">
        <f>+'COSTO DE PRODUCCION'!W55</f>
        <v>96</v>
      </c>
      <c r="E12" s="99">
        <v>96</v>
      </c>
      <c r="F12" s="123">
        <v>95</v>
      </c>
      <c r="G12" s="123">
        <v>94</v>
      </c>
      <c r="H12" s="123">
        <v>94</v>
      </c>
      <c r="I12" s="123">
        <v>95</v>
      </c>
      <c r="J12" s="123">
        <v>98</v>
      </c>
      <c r="K12" s="99">
        <v>96</v>
      </c>
      <c r="L12" s="123">
        <v>95</v>
      </c>
      <c r="M12" s="123">
        <v>94</v>
      </c>
      <c r="N12" s="123">
        <v>94</v>
      </c>
      <c r="O12" s="123">
        <v>98</v>
      </c>
      <c r="P12" s="99">
        <v>96</v>
      </c>
      <c r="Q12" s="123">
        <v>95</v>
      </c>
      <c r="R12" s="123">
        <v>94</v>
      </c>
      <c r="S12" s="123">
        <v>94</v>
      </c>
      <c r="T12" s="123">
        <v>95</v>
      </c>
      <c r="U12" s="123">
        <v>98</v>
      </c>
      <c r="V12" s="123">
        <v>98</v>
      </c>
      <c r="W12" s="123">
        <v>95</v>
      </c>
      <c r="X12" s="123">
        <v>94</v>
      </c>
      <c r="Y12" s="123">
        <v>94</v>
      </c>
      <c r="Z12" s="123">
        <v>95</v>
      </c>
      <c r="AA12" s="123">
        <v>98</v>
      </c>
      <c r="AB12" s="132"/>
    </row>
    <row r="13" spans="1:28" s="122" customFormat="1" x14ac:dyDescent="0.3">
      <c r="A13" s="131" t="s">
        <v>197</v>
      </c>
      <c r="B13" s="91">
        <v>7</v>
      </c>
      <c r="C13" s="102" t="s">
        <v>124</v>
      </c>
      <c r="D13" s="99">
        <f>+'COSTO DE PRODUCCION'!W56</f>
        <v>120</v>
      </c>
      <c r="E13" s="99">
        <v>124</v>
      </c>
      <c r="F13" s="123">
        <v>122</v>
      </c>
      <c r="G13" s="123">
        <v>124</v>
      </c>
      <c r="H13" s="123">
        <v>125</v>
      </c>
      <c r="I13" s="123">
        <v>122</v>
      </c>
      <c r="J13" s="123">
        <v>125</v>
      </c>
      <c r="K13" s="99">
        <v>124</v>
      </c>
      <c r="L13" s="123">
        <v>122</v>
      </c>
      <c r="M13" s="123">
        <v>124</v>
      </c>
      <c r="N13" s="123">
        <v>125</v>
      </c>
      <c r="O13" s="123">
        <v>125</v>
      </c>
      <c r="P13" s="99">
        <v>124</v>
      </c>
      <c r="Q13" s="123">
        <v>122</v>
      </c>
      <c r="R13" s="123">
        <v>124</v>
      </c>
      <c r="S13" s="123">
        <v>125</v>
      </c>
      <c r="T13" s="123">
        <v>122</v>
      </c>
      <c r="U13" s="123">
        <v>125</v>
      </c>
      <c r="V13" s="123">
        <v>125</v>
      </c>
      <c r="W13" s="123">
        <v>122</v>
      </c>
      <c r="X13" s="123">
        <v>124</v>
      </c>
      <c r="Y13" s="123">
        <v>125</v>
      </c>
      <c r="Z13" s="123">
        <v>122</v>
      </c>
      <c r="AA13" s="123">
        <v>125</v>
      </c>
      <c r="AB13" s="132"/>
    </row>
    <row r="14" spans="1:28" s="122" customFormat="1" x14ac:dyDescent="0.3">
      <c r="A14" s="131" t="s">
        <v>197</v>
      </c>
      <c r="B14" s="91">
        <v>8</v>
      </c>
      <c r="C14" s="102" t="s">
        <v>125</v>
      </c>
      <c r="D14" s="99">
        <f>+'COSTO DE PRODUCCION'!W57</f>
        <v>72</v>
      </c>
      <c r="E14" s="99">
        <v>74</v>
      </c>
      <c r="F14" s="123">
        <v>72</v>
      </c>
      <c r="G14" s="123">
        <v>72</v>
      </c>
      <c r="H14" s="123">
        <v>70</v>
      </c>
      <c r="I14" s="123">
        <v>72</v>
      </c>
      <c r="J14" s="123">
        <v>74</v>
      </c>
      <c r="K14" s="99">
        <v>74</v>
      </c>
      <c r="L14" s="123">
        <v>72</v>
      </c>
      <c r="M14" s="123">
        <v>72</v>
      </c>
      <c r="N14" s="123">
        <v>70</v>
      </c>
      <c r="O14" s="123">
        <v>74</v>
      </c>
      <c r="P14" s="99">
        <v>74</v>
      </c>
      <c r="Q14" s="123">
        <v>72</v>
      </c>
      <c r="R14" s="123">
        <v>72</v>
      </c>
      <c r="S14" s="123">
        <v>70</v>
      </c>
      <c r="T14" s="123">
        <v>72</v>
      </c>
      <c r="U14" s="123">
        <v>74</v>
      </c>
      <c r="V14" s="123">
        <v>74</v>
      </c>
      <c r="W14" s="123">
        <v>72</v>
      </c>
      <c r="X14" s="123">
        <v>72</v>
      </c>
      <c r="Y14" s="123">
        <v>70</v>
      </c>
      <c r="Z14" s="123">
        <v>72</v>
      </c>
      <c r="AA14" s="123">
        <v>74</v>
      </c>
      <c r="AB14" s="132"/>
    </row>
    <row r="15" spans="1:28" s="122" customFormat="1" x14ac:dyDescent="0.3">
      <c r="A15" s="131" t="s">
        <v>197</v>
      </c>
      <c r="B15" s="91">
        <v>9</v>
      </c>
      <c r="C15" s="102" t="s">
        <v>126</v>
      </c>
      <c r="D15" s="99">
        <f>+'COSTO DE PRODUCCION'!W58</f>
        <v>96</v>
      </c>
      <c r="E15" s="99">
        <v>98</v>
      </c>
      <c r="F15" s="123">
        <v>98</v>
      </c>
      <c r="G15" s="123">
        <v>95</v>
      </c>
      <c r="H15" s="123">
        <v>94</v>
      </c>
      <c r="I15" s="123">
        <v>98</v>
      </c>
      <c r="J15" s="123">
        <v>98</v>
      </c>
      <c r="K15" s="99">
        <v>98</v>
      </c>
      <c r="L15" s="123">
        <v>98</v>
      </c>
      <c r="M15" s="123">
        <v>95</v>
      </c>
      <c r="N15" s="123">
        <v>94</v>
      </c>
      <c r="O15" s="123">
        <v>98</v>
      </c>
      <c r="P15" s="99">
        <v>98</v>
      </c>
      <c r="Q15" s="123">
        <v>98</v>
      </c>
      <c r="R15" s="123">
        <v>95</v>
      </c>
      <c r="S15" s="123">
        <v>94</v>
      </c>
      <c r="T15" s="123">
        <v>98</v>
      </c>
      <c r="U15" s="123">
        <v>98</v>
      </c>
      <c r="V15" s="123">
        <v>98</v>
      </c>
      <c r="W15" s="123">
        <v>98</v>
      </c>
      <c r="X15" s="123">
        <v>95</v>
      </c>
      <c r="Y15" s="123">
        <v>94</v>
      </c>
      <c r="Z15" s="123">
        <v>98</v>
      </c>
      <c r="AA15" s="123">
        <v>98</v>
      </c>
      <c r="AB15" s="132"/>
    </row>
    <row r="16" spans="1:28" s="122" customFormat="1" x14ac:dyDescent="0.3">
      <c r="A16" s="131" t="s">
        <v>197</v>
      </c>
      <c r="B16" s="91">
        <v>10</v>
      </c>
      <c r="C16" s="102" t="s">
        <v>127</v>
      </c>
      <c r="D16" s="99">
        <f>+'COSTO DE PRODUCCION'!W59</f>
        <v>144</v>
      </c>
      <c r="E16" s="99">
        <v>145</v>
      </c>
      <c r="F16" s="123">
        <v>142</v>
      </c>
      <c r="G16" s="123">
        <v>144</v>
      </c>
      <c r="H16" s="123">
        <v>146</v>
      </c>
      <c r="I16" s="123">
        <v>142</v>
      </c>
      <c r="J16" s="123">
        <v>145</v>
      </c>
      <c r="K16" s="99">
        <v>145</v>
      </c>
      <c r="L16" s="123">
        <v>142</v>
      </c>
      <c r="M16" s="123">
        <v>144</v>
      </c>
      <c r="N16" s="123">
        <v>146</v>
      </c>
      <c r="O16" s="123">
        <v>145</v>
      </c>
      <c r="P16" s="99">
        <v>145</v>
      </c>
      <c r="Q16" s="123">
        <v>142</v>
      </c>
      <c r="R16" s="123">
        <v>144</v>
      </c>
      <c r="S16" s="123">
        <v>146</v>
      </c>
      <c r="T16" s="123">
        <v>142</v>
      </c>
      <c r="U16" s="123">
        <v>145</v>
      </c>
      <c r="V16" s="123">
        <v>145</v>
      </c>
      <c r="W16" s="123">
        <v>142</v>
      </c>
      <c r="X16" s="123">
        <v>144</v>
      </c>
      <c r="Y16" s="123">
        <v>146</v>
      </c>
      <c r="Z16" s="123">
        <v>142</v>
      </c>
      <c r="AA16" s="123">
        <v>145</v>
      </c>
      <c r="AB16" s="132"/>
    </row>
    <row r="17" spans="1:28" s="122" customFormat="1" x14ac:dyDescent="0.3">
      <c r="A17" s="131" t="s">
        <v>197</v>
      </c>
      <c r="B17" s="91">
        <v>11</v>
      </c>
      <c r="C17" s="102" t="s">
        <v>128</v>
      </c>
      <c r="D17" s="99">
        <f>+'COSTO DE PRODUCCION'!W60</f>
        <v>60</v>
      </c>
      <c r="E17" s="99">
        <v>62</v>
      </c>
      <c r="F17" s="123">
        <v>62</v>
      </c>
      <c r="G17" s="123">
        <v>64</v>
      </c>
      <c r="H17" s="123">
        <v>63</v>
      </c>
      <c r="I17" s="123">
        <v>62</v>
      </c>
      <c r="J17" s="123">
        <v>65</v>
      </c>
      <c r="K17" s="99">
        <v>62</v>
      </c>
      <c r="L17" s="123">
        <v>62</v>
      </c>
      <c r="M17" s="123">
        <v>64</v>
      </c>
      <c r="N17" s="123">
        <v>63</v>
      </c>
      <c r="O17" s="123">
        <v>65</v>
      </c>
      <c r="P17" s="99">
        <v>62</v>
      </c>
      <c r="Q17" s="123">
        <v>62</v>
      </c>
      <c r="R17" s="123">
        <v>64</v>
      </c>
      <c r="S17" s="123">
        <v>63</v>
      </c>
      <c r="T17" s="123">
        <v>62</v>
      </c>
      <c r="U17" s="123">
        <v>65</v>
      </c>
      <c r="V17" s="123">
        <v>65</v>
      </c>
      <c r="W17" s="123">
        <v>62</v>
      </c>
      <c r="X17" s="123">
        <v>64</v>
      </c>
      <c r="Y17" s="123">
        <v>63</v>
      </c>
      <c r="Z17" s="123">
        <v>62</v>
      </c>
      <c r="AA17" s="123">
        <v>65</v>
      </c>
      <c r="AB17" s="132"/>
    </row>
    <row r="18" spans="1:28" s="122" customFormat="1" x14ac:dyDescent="0.3">
      <c r="A18" s="131" t="s">
        <v>197</v>
      </c>
      <c r="B18" s="91">
        <v>12</v>
      </c>
      <c r="C18" s="102" t="s">
        <v>129</v>
      </c>
      <c r="D18" s="99">
        <f>+'COSTO DE PRODUCCION'!W61</f>
        <v>120</v>
      </c>
      <c r="E18" s="99">
        <v>122</v>
      </c>
      <c r="F18" s="123">
        <v>124</v>
      </c>
      <c r="G18" s="123">
        <v>126</v>
      </c>
      <c r="H18" s="123">
        <v>124</v>
      </c>
      <c r="I18" s="123">
        <v>124</v>
      </c>
      <c r="J18" s="123">
        <v>126</v>
      </c>
      <c r="K18" s="99">
        <v>122</v>
      </c>
      <c r="L18" s="123">
        <v>124</v>
      </c>
      <c r="M18" s="123">
        <v>126</v>
      </c>
      <c r="N18" s="123">
        <v>124</v>
      </c>
      <c r="O18" s="123">
        <v>126</v>
      </c>
      <c r="P18" s="99">
        <v>122</v>
      </c>
      <c r="Q18" s="123">
        <v>124</v>
      </c>
      <c r="R18" s="123">
        <v>126</v>
      </c>
      <c r="S18" s="123">
        <v>124</v>
      </c>
      <c r="T18" s="123">
        <v>124</v>
      </c>
      <c r="U18" s="123">
        <v>126</v>
      </c>
      <c r="V18" s="123">
        <v>126</v>
      </c>
      <c r="W18" s="123">
        <v>124</v>
      </c>
      <c r="X18" s="123">
        <v>126</v>
      </c>
      <c r="Y18" s="123">
        <v>124</v>
      </c>
      <c r="Z18" s="123">
        <v>124</v>
      </c>
      <c r="AA18" s="123">
        <v>126</v>
      </c>
      <c r="AB18" s="132"/>
    </row>
    <row r="19" spans="1:28" s="122" customFormat="1" x14ac:dyDescent="0.3">
      <c r="A19" s="131" t="s">
        <v>197</v>
      </c>
      <c r="B19" s="91">
        <v>13</v>
      </c>
      <c r="C19" s="102" t="s">
        <v>130</v>
      </c>
      <c r="D19" s="99">
        <f>+'COSTO DE PRODUCCION'!W62</f>
        <v>72</v>
      </c>
      <c r="E19" s="99">
        <v>70</v>
      </c>
      <c r="F19" s="123">
        <v>70</v>
      </c>
      <c r="G19" s="123">
        <v>72</v>
      </c>
      <c r="H19" s="123">
        <v>70</v>
      </c>
      <c r="I19" s="123">
        <v>70</v>
      </c>
      <c r="J19" s="123">
        <v>74</v>
      </c>
      <c r="K19" s="99">
        <v>70</v>
      </c>
      <c r="L19" s="123">
        <v>70</v>
      </c>
      <c r="M19" s="123">
        <v>72</v>
      </c>
      <c r="N19" s="123">
        <v>70</v>
      </c>
      <c r="O19" s="123">
        <v>74</v>
      </c>
      <c r="P19" s="99">
        <v>70</v>
      </c>
      <c r="Q19" s="123">
        <v>70</v>
      </c>
      <c r="R19" s="123">
        <v>72</v>
      </c>
      <c r="S19" s="123">
        <v>70</v>
      </c>
      <c r="T19" s="123">
        <v>70</v>
      </c>
      <c r="U19" s="123">
        <v>74</v>
      </c>
      <c r="V19" s="123">
        <v>74</v>
      </c>
      <c r="W19" s="123">
        <v>70</v>
      </c>
      <c r="X19" s="123">
        <v>72</v>
      </c>
      <c r="Y19" s="123">
        <v>70</v>
      </c>
      <c r="Z19" s="123">
        <v>70</v>
      </c>
      <c r="AA19" s="123">
        <v>74</v>
      </c>
      <c r="AB19" s="132"/>
    </row>
    <row r="20" spans="1:28" s="122" customFormat="1" x14ac:dyDescent="0.3">
      <c r="A20" s="131" t="s">
        <v>197</v>
      </c>
      <c r="B20" s="91">
        <v>14</v>
      </c>
      <c r="C20" s="102" t="s">
        <v>142</v>
      </c>
      <c r="D20" s="99">
        <f>+'COSTO DE PRODUCCION'!W63</f>
        <v>97</v>
      </c>
      <c r="E20" s="99">
        <v>96</v>
      </c>
      <c r="F20" s="124">
        <v>95</v>
      </c>
      <c r="G20" s="124">
        <v>94</v>
      </c>
      <c r="H20" s="124">
        <v>95</v>
      </c>
      <c r="I20" s="124">
        <v>95</v>
      </c>
      <c r="J20" s="124">
        <v>98</v>
      </c>
      <c r="K20" s="99">
        <v>96</v>
      </c>
      <c r="L20" s="124">
        <v>95</v>
      </c>
      <c r="M20" s="124">
        <v>94</v>
      </c>
      <c r="N20" s="124">
        <v>95</v>
      </c>
      <c r="O20" s="124">
        <v>98</v>
      </c>
      <c r="P20" s="99">
        <v>96</v>
      </c>
      <c r="Q20" s="124">
        <v>95</v>
      </c>
      <c r="R20" s="124">
        <v>94</v>
      </c>
      <c r="S20" s="124">
        <v>95</v>
      </c>
      <c r="T20" s="124">
        <v>95</v>
      </c>
      <c r="U20" s="124">
        <v>98</v>
      </c>
      <c r="V20" s="124">
        <v>98</v>
      </c>
      <c r="W20" s="124">
        <v>95</v>
      </c>
      <c r="X20" s="124">
        <v>94</v>
      </c>
      <c r="Y20" s="124">
        <v>95</v>
      </c>
      <c r="Z20" s="124">
        <v>95</v>
      </c>
      <c r="AA20" s="124">
        <v>98</v>
      </c>
      <c r="AB20" s="132"/>
    </row>
    <row r="21" spans="1:28" s="122" customFormat="1" x14ac:dyDescent="0.3">
      <c r="A21" s="131" t="s">
        <v>197</v>
      </c>
      <c r="B21" s="91">
        <v>15</v>
      </c>
      <c r="C21" s="102" t="s">
        <v>143</v>
      </c>
      <c r="D21" s="99">
        <f>+'COSTO DE PRODUCCION'!W64</f>
        <v>85</v>
      </c>
      <c r="E21" s="99">
        <v>82</v>
      </c>
      <c r="F21" s="124">
        <v>85</v>
      </c>
      <c r="G21" s="124">
        <v>86</v>
      </c>
      <c r="H21" s="124">
        <v>88</v>
      </c>
      <c r="I21" s="124">
        <v>85</v>
      </c>
      <c r="J21" s="124">
        <v>86</v>
      </c>
      <c r="K21" s="99">
        <v>82</v>
      </c>
      <c r="L21" s="124">
        <v>85</v>
      </c>
      <c r="M21" s="124">
        <v>86</v>
      </c>
      <c r="N21" s="124">
        <v>88</v>
      </c>
      <c r="O21" s="124">
        <v>86</v>
      </c>
      <c r="P21" s="99">
        <v>82</v>
      </c>
      <c r="Q21" s="124">
        <v>85</v>
      </c>
      <c r="R21" s="124">
        <v>86</v>
      </c>
      <c r="S21" s="124">
        <v>88</v>
      </c>
      <c r="T21" s="124">
        <v>85</v>
      </c>
      <c r="U21" s="124">
        <v>86</v>
      </c>
      <c r="V21" s="124">
        <v>86</v>
      </c>
      <c r="W21" s="124">
        <v>85</v>
      </c>
      <c r="X21" s="124">
        <v>86</v>
      </c>
      <c r="Y21" s="124">
        <v>88</v>
      </c>
      <c r="Z21" s="124">
        <v>85</v>
      </c>
      <c r="AA21" s="124">
        <v>86</v>
      </c>
      <c r="AB21" s="132"/>
    </row>
    <row r="22" spans="1:28" s="122" customFormat="1" x14ac:dyDescent="0.3">
      <c r="A22" s="131" t="s">
        <v>197</v>
      </c>
      <c r="B22" s="91">
        <v>16</v>
      </c>
      <c r="C22" s="102" t="s">
        <v>144</v>
      </c>
      <c r="D22" s="99">
        <f>+'COSTO DE PRODUCCION'!W65</f>
        <v>81</v>
      </c>
      <c r="E22" s="99">
        <v>82</v>
      </c>
      <c r="F22" s="124">
        <v>84</v>
      </c>
      <c r="G22" s="124">
        <v>85</v>
      </c>
      <c r="H22" s="124">
        <v>86</v>
      </c>
      <c r="I22" s="124">
        <v>84</v>
      </c>
      <c r="J22" s="124">
        <v>85</v>
      </c>
      <c r="K22" s="99">
        <v>82</v>
      </c>
      <c r="L22" s="124">
        <v>84</v>
      </c>
      <c r="M22" s="124">
        <v>85</v>
      </c>
      <c r="N22" s="124">
        <v>86</v>
      </c>
      <c r="O22" s="124">
        <v>85</v>
      </c>
      <c r="P22" s="99">
        <v>82</v>
      </c>
      <c r="Q22" s="124">
        <v>84</v>
      </c>
      <c r="R22" s="124">
        <v>85</v>
      </c>
      <c r="S22" s="124">
        <v>86</v>
      </c>
      <c r="T22" s="124">
        <v>84</v>
      </c>
      <c r="U22" s="124">
        <v>85</v>
      </c>
      <c r="V22" s="124">
        <v>85</v>
      </c>
      <c r="W22" s="124">
        <v>84</v>
      </c>
      <c r="X22" s="124">
        <v>85</v>
      </c>
      <c r="Y22" s="124">
        <v>86</v>
      </c>
      <c r="Z22" s="124">
        <v>84</v>
      </c>
      <c r="AA22" s="124">
        <v>85</v>
      </c>
      <c r="AB22" s="132"/>
    </row>
    <row r="23" spans="1:28" s="122" customFormat="1" x14ac:dyDescent="0.3">
      <c r="A23" s="131" t="s">
        <v>197</v>
      </c>
      <c r="B23" s="91">
        <v>17</v>
      </c>
      <c r="C23" s="102" t="s">
        <v>145</v>
      </c>
      <c r="D23" s="99">
        <f>+'COSTO DE PRODUCCION'!W66</f>
        <v>91</v>
      </c>
      <c r="E23" s="99">
        <v>94</v>
      </c>
      <c r="F23" s="124">
        <v>96</v>
      </c>
      <c r="G23" s="124">
        <v>95</v>
      </c>
      <c r="H23" s="124">
        <v>98</v>
      </c>
      <c r="I23" s="124">
        <v>96</v>
      </c>
      <c r="J23" s="124">
        <v>98</v>
      </c>
      <c r="K23" s="99">
        <v>94</v>
      </c>
      <c r="L23" s="124">
        <v>96</v>
      </c>
      <c r="M23" s="124">
        <v>95</v>
      </c>
      <c r="N23" s="124">
        <v>98</v>
      </c>
      <c r="O23" s="124">
        <v>98</v>
      </c>
      <c r="P23" s="99">
        <v>94</v>
      </c>
      <c r="Q23" s="124">
        <v>96</v>
      </c>
      <c r="R23" s="124">
        <v>95</v>
      </c>
      <c r="S23" s="124">
        <v>98</v>
      </c>
      <c r="T23" s="124">
        <v>96</v>
      </c>
      <c r="U23" s="124">
        <v>98</v>
      </c>
      <c r="V23" s="124">
        <v>98</v>
      </c>
      <c r="W23" s="124">
        <v>96</v>
      </c>
      <c r="X23" s="124">
        <v>95</v>
      </c>
      <c r="Y23" s="124">
        <v>98</v>
      </c>
      <c r="Z23" s="124">
        <v>96</v>
      </c>
      <c r="AA23" s="124">
        <v>98</v>
      </c>
      <c r="AB23" s="132"/>
    </row>
    <row r="24" spans="1:28" x14ac:dyDescent="0.3">
      <c r="B24" s="135"/>
      <c r="C24" s="136" t="s">
        <v>28</v>
      </c>
      <c r="D24" s="137">
        <f>SUM(D7:D23)</f>
        <v>3882</v>
      </c>
      <c r="E24" s="137">
        <f t="shared" ref="E24:AB24" si="0">SUM(E7:E23)</f>
        <v>3906</v>
      </c>
      <c r="F24" s="137">
        <f t="shared" si="0"/>
        <v>3908</v>
      </c>
      <c r="G24" s="137">
        <f t="shared" si="0"/>
        <v>3913</v>
      </c>
      <c r="H24" s="137">
        <f t="shared" si="0"/>
        <v>3915</v>
      </c>
      <c r="I24" s="137">
        <f t="shared" si="0"/>
        <v>3911</v>
      </c>
      <c r="J24" s="137">
        <f t="shared" si="0"/>
        <v>3962</v>
      </c>
      <c r="K24" s="137">
        <f t="shared" si="0"/>
        <v>3906</v>
      </c>
      <c r="L24" s="137">
        <f t="shared" si="0"/>
        <v>3908</v>
      </c>
      <c r="M24" s="137">
        <f t="shared" si="0"/>
        <v>3913</v>
      </c>
      <c r="N24" s="137">
        <f t="shared" si="0"/>
        <v>3915</v>
      </c>
      <c r="O24" s="137">
        <f t="shared" si="0"/>
        <v>3962</v>
      </c>
      <c r="P24" s="137">
        <f t="shared" si="0"/>
        <v>3906</v>
      </c>
      <c r="Q24" s="137">
        <f t="shared" si="0"/>
        <v>3908</v>
      </c>
      <c r="R24" s="137">
        <f t="shared" si="0"/>
        <v>3913</v>
      </c>
      <c r="S24" s="137">
        <f t="shared" si="0"/>
        <v>3915</v>
      </c>
      <c r="T24" s="137">
        <f t="shared" si="0"/>
        <v>3911</v>
      </c>
      <c r="U24" s="137">
        <f t="shared" si="0"/>
        <v>3962</v>
      </c>
      <c r="V24" s="137">
        <f t="shared" si="0"/>
        <v>3962</v>
      </c>
      <c r="W24" s="137">
        <f t="shared" si="0"/>
        <v>3908</v>
      </c>
      <c r="X24" s="137">
        <f t="shared" si="0"/>
        <v>3913</v>
      </c>
      <c r="Y24" s="137">
        <f t="shared" si="0"/>
        <v>3915</v>
      </c>
      <c r="Z24" s="137">
        <f t="shared" si="0"/>
        <v>3911</v>
      </c>
      <c r="AA24" s="137">
        <f t="shared" si="0"/>
        <v>3962</v>
      </c>
      <c r="AB24" s="137">
        <f t="shared" si="0"/>
        <v>0</v>
      </c>
    </row>
    <row r="25" spans="1:28" x14ac:dyDescent="0.3"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0"/>
    </row>
    <row r="26" spans="1:28" x14ac:dyDescent="0.3">
      <c r="C26" s="118" t="s">
        <v>192</v>
      </c>
    </row>
    <row r="27" spans="1:28" ht="15.75" thickBot="1" x14ac:dyDescent="0.35"/>
    <row r="28" spans="1:28" ht="30.75" thickBot="1" x14ac:dyDescent="0.35">
      <c r="B28" s="133" t="s">
        <v>195</v>
      </c>
      <c r="C28" s="138" t="s">
        <v>132</v>
      </c>
      <c r="D28" s="139" t="s">
        <v>193</v>
      </c>
      <c r="E28" s="139" t="s">
        <v>168</v>
      </c>
      <c r="F28" s="139" t="s">
        <v>169</v>
      </c>
      <c r="G28" s="139" t="s">
        <v>170</v>
      </c>
      <c r="H28" s="139" t="s">
        <v>171</v>
      </c>
      <c r="I28" s="139" t="s">
        <v>172</v>
      </c>
      <c r="J28" s="139" t="s">
        <v>173</v>
      </c>
      <c r="K28" s="139" t="s">
        <v>174</v>
      </c>
      <c r="L28" s="139" t="s">
        <v>175</v>
      </c>
      <c r="M28" s="139" t="s">
        <v>176</v>
      </c>
      <c r="N28" s="139" t="s">
        <v>177</v>
      </c>
      <c r="O28" s="139" t="s">
        <v>178</v>
      </c>
      <c r="P28" s="139" t="s">
        <v>179</v>
      </c>
      <c r="Q28" s="139" t="s">
        <v>180</v>
      </c>
      <c r="R28" s="139" t="s">
        <v>181</v>
      </c>
      <c r="S28" s="139" t="s">
        <v>182</v>
      </c>
      <c r="T28" s="139" t="s">
        <v>183</v>
      </c>
      <c r="U28" s="139" t="s">
        <v>184</v>
      </c>
      <c r="V28" s="139" t="s">
        <v>185</v>
      </c>
      <c r="W28" s="139" t="s">
        <v>186</v>
      </c>
      <c r="X28" s="139" t="s">
        <v>187</v>
      </c>
      <c r="Y28" s="139" t="s">
        <v>188</v>
      </c>
      <c r="Z28" s="139" t="s">
        <v>189</v>
      </c>
      <c r="AA28" s="139" t="s">
        <v>190</v>
      </c>
      <c r="AB28" s="139" t="s">
        <v>191</v>
      </c>
    </row>
    <row r="29" spans="1:28" x14ac:dyDescent="0.3">
      <c r="A29" s="131" t="s">
        <v>196</v>
      </c>
      <c r="B29" s="91">
        <v>1</v>
      </c>
      <c r="C29" s="100" t="s">
        <v>103</v>
      </c>
      <c r="D29" s="141">
        <f>+'COSTO DE PRODUCCION'!Y7</f>
        <v>5</v>
      </c>
      <c r="E29" s="126">
        <f>D7*D29</f>
        <v>10800</v>
      </c>
      <c r="F29" s="126">
        <f t="shared" ref="F29:F45" si="1">E7*D29</f>
        <v>10825</v>
      </c>
      <c r="G29" s="126">
        <f t="shared" ref="G29:G45" si="2">F7*D29</f>
        <v>10820</v>
      </c>
      <c r="H29" s="126">
        <f t="shared" ref="H29:H45" si="3">G7*D29</f>
        <v>10825</v>
      </c>
      <c r="I29" s="126">
        <f t="shared" ref="I29:I45" si="4">H7*D29</f>
        <v>10820</v>
      </c>
      <c r="J29" s="126">
        <f t="shared" ref="J29:J45" si="5">I7*D29</f>
        <v>10835</v>
      </c>
      <c r="K29" s="126">
        <f t="shared" ref="K29:K45" si="6">J7*D29</f>
        <v>10910</v>
      </c>
      <c r="L29" s="126">
        <f t="shared" ref="L29:L45" si="7">K7*D29</f>
        <v>10825</v>
      </c>
      <c r="M29" s="126">
        <f t="shared" ref="M29:M45" si="8">L7*D29</f>
        <v>10820</v>
      </c>
      <c r="N29" s="126">
        <f t="shared" ref="N29:N45" si="9">M7*D29</f>
        <v>10825</v>
      </c>
      <c r="O29" s="126">
        <f t="shared" ref="O29:O45" si="10">N7*D29</f>
        <v>10820</v>
      </c>
      <c r="P29" s="126">
        <f t="shared" ref="P29:P45" si="11">O7*D29</f>
        <v>10910</v>
      </c>
      <c r="Q29" s="126">
        <f t="shared" ref="Q29:Q45" si="12">P7*D29</f>
        <v>10825</v>
      </c>
      <c r="R29" s="126">
        <f t="shared" ref="R29:R45" si="13">Q7*D29</f>
        <v>10820</v>
      </c>
      <c r="S29" s="126">
        <f t="shared" ref="S29:S45" si="14">R7*D29</f>
        <v>10825</v>
      </c>
      <c r="T29" s="126">
        <f t="shared" ref="T29:T45" si="15">S7*D29</f>
        <v>10820</v>
      </c>
      <c r="U29" s="126">
        <f t="shared" ref="U29:U45" si="16">T7*D29</f>
        <v>10835</v>
      </c>
      <c r="V29" s="126">
        <f t="shared" ref="V29:V45" si="17">U7*D29</f>
        <v>10910</v>
      </c>
      <c r="W29" s="126">
        <f t="shared" ref="W29:W45" si="18">V7*D29</f>
        <v>10910</v>
      </c>
      <c r="X29" s="126">
        <f t="shared" ref="X29:X45" si="19">W7*D29</f>
        <v>10820</v>
      </c>
      <c r="Y29" s="126">
        <f t="shared" ref="Y29:Y45" si="20">X7*D29</f>
        <v>10825</v>
      </c>
      <c r="Z29" s="126">
        <f t="shared" ref="Z29:Z45" si="21">Y7*D29</f>
        <v>10820</v>
      </c>
      <c r="AA29" s="126">
        <f t="shared" ref="AA29:AA45" si="22">Z7*D29</f>
        <v>10835</v>
      </c>
      <c r="AB29" s="126">
        <f t="shared" ref="AB29:AB45" si="23">AA7*D29</f>
        <v>10910</v>
      </c>
    </row>
    <row r="30" spans="1:28" x14ac:dyDescent="0.3">
      <c r="A30" s="131" t="s">
        <v>197</v>
      </c>
      <c r="B30" s="91">
        <v>2</v>
      </c>
      <c r="C30" s="102" t="s">
        <v>118</v>
      </c>
      <c r="D30" s="142">
        <f>'COSTO DE PRODUCCION'!W8</f>
        <v>20</v>
      </c>
      <c r="E30" s="126">
        <f t="shared" ref="E30:E44" si="24">D8*D30</f>
        <v>4320</v>
      </c>
      <c r="F30" s="126">
        <f t="shared" si="1"/>
        <v>4360</v>
      </c>
      <c r="G30" s="126">
        <f t="shared" si="2"/>
        <v>4400</v>
      </c>
      <c r="H30" s="126">
        <f t="shared" si="3"/>
        <v>4360</v>
      </c>
      <c r="I30" s="126">
        <f t="shared" si="4"/>
        <v>4380</v>
      </c>
      <c r="J30" s="126">
        <f t="shared" si="5"/>
        <v>4400</v>
      </c>
      <c r="K30" s="126">
        <f t="shared" si="6"/>
        <v>4480</v>
      </c>
      <c r="L30" s="126">
        <f t="shared" si="7"/>
        <v>4360</v>
      </c>
      <c r="M30" s="126">
        <f t="shared" si="8"/>
        <v>4400</v>
      </c>
      <c r="N30" s="126">
        <f t="shared" si="9"/>
        <v>4360</v>
      </c>
      <c r="O30" s="126">
        <f t="shared" si="10"/>
        <v>4380</v>
      </c>
      <c r="P30" s="126">
        <f t="shared" si="11"/>
        <v>4480</v>
      </c>
      <c r="Q30" s="126">
        <f t="shared" si="12"/>
        <v>4360</v>
      </c>
      <c r="R30" s="126">
        <f t="shared" si="13"/>
        <v>4400</v>
      </c>
      <c r="S30" s="126">
        <f t="shared" si="14"/>
        <v>4360</v>
      </c>
      <c r="T30" s="126">
        <f t="shared" si="15"/>
        <v>4380</v>
      </c>
      <c r="U30" s="126">
        <f t="shared" si="16"/>
        <v>4400</v>
      </c>
      <c r="V30" s="126">
        <f t="shared" si="17"/>
        <v>4480</v>
      </c>
      <c r="W30" s="126">
        <f t="shared" si="18"/>
        <v>4480</v>
      </c>
      <c r="X30" s="126">
        <f t="shared" si="19"/>
        <v>4400</v>
      </c>
      <c r="Y30" s="126">
        <f t="shared" si="20"/>
        <v>4360</v>
      </c>
      <c r="Z30" s="126">
        <f t="shared" si="21"/>
        <v>4380</v>
      </c>
      <c r="AA30" s="126">
        <f t="shared" si="22"/>
        <v>4400</v>
      </c>
      <c r="AB30" s="126">
        <f t="shared" si="23"/>
        <v>4480</v>
      </c>
    </row>
    <row r="31" spans="1:28" x14ac:dyDescent="0.3">
      <c r="A31" s="131" t="s">
        <v>197</v>
      </c>
      <c r="B31" s="91">
        <v>3</v>
      </c>
      <c r="C31" s="102" t="s">
        <v>120</v>
      </c>
      <c r="D31" s="142">
        <f>'COSTO DE PRODUCCION'!W9</f>
        <v>20</v>
      </c>
      <c r="E31" s="126">
        <f t="shared" si="24"/>
        <v>3600</v>
      </c>
      <c r="F31" s="127">
        <f t="shared" si="1"/>
        <v>3640</v>
      </c>
      <c r="G31" s="127">
        <f t="shared" si="2"/>
        <v>3600</v>
      </c>
      <c r="H31" s="127">
        <f t="shared" si="3"/>
        <v>3680</v>
      </c>
      <c r="I31" s="127">
        <f t="shared" si="4"/>
        <v>3640</v>
      </c>
      <c r="J31" s="127">
        <f t="shared" si="5"/>
        <v>3600</v>
      </c>
      <c r="K31" s="127">
        <f t="shared" si="6"/>
        <v>3680</v>
      </c>
      <c r="L31" s="127">
        <f t="shared" si="7"/>
        <v>3640</v>
      </c>
      <c r="M31" s="127">
        <f t="shared" si="8"/>
        <v>3600</v>
      </c>
      <c r="N31" s="127">
        <f t="shared" si="9"/>
        <v>3680</v>
      </c>
      <c r="O31" s="127">
        <f t="shared" si="10"/>
        <v>3640</v>
      </c>
      <c r="P31" s="126">
        <f t="shared" si="11"/>
        <v>3680</v>
      </c>
      <c r="Q31" s="126">
        <f t="shared" si="12"/>
        <v>3640</v>
      </c>
      <c r="R31" s="126">
        <f t="shared" si="13"/>
        <v>3600</v>
      </c>
      <c r="S31" s="126">
        <f t="shared" si="14"/>
        <v>3680</v>
      </c>
      <c r="T31" s="126">
        <f t="shared" si="15"/>
        <v>3640</v>
      </c>
      <c r="U31" s="126">
        <f t="shared" si="16"/>
        <v>3600</v>
      </c>
      <c r="V31" s="126">
        <f t="shared" si="17"/>
        <v>3680</v>
      </c>
      <c r="W31" s="126">
        <f t="shared" si="18"/>
        <v>3680</v>
      </c>
      <c r="X31" s="126">
        <f t="shared" si="19"/>
        <v>3600</v>
      </c>
      <c r="Y31" s="126">
        <f t="shared" si="20"/>
        <v>3680</v>
      </c>
      <c r="Z31" s="126">
        <f t="shared" si="21"/>
        <v>3640</v>
      </c>
      <c r="AA31" s="126">
        <f t="shared" si="22"/>
        <v>3600</v>
      </c>
      <c r="AB31" s="126">
        <f t="shared" si="23"/>
        <v>3680</v>
      </c>
    </row>
    <row r="32" spans="1:28" x14ac:dyDescent="0.3">
      <c r="A32" s="131" t="s">
        <v>197</v>
      </c>
      <c r="B32" s="91">
        <v>4</v>
      </c>
      <c r="C32" s="102" t="s">
        <v>121</v>
      </c>
      <c r="D32" s="142">
        <f>'COSTO DE PRODUCCION'!W10</f>
        <v>20</v>
      </c>
      <c r="E32" s="126">
        <f t="shared" si="24"/>
        <v>1440</v>
      </c>
      <c r="F32" s="128">
        <f t="shared" si="1"/>
        <v>1480</v>
      </c>
      <c r="G32" s="128">
        <f t="shared" si="2"/>
        <v>1500</v>
      </c>
      <c r="H32" s="128">
        <f t="shared" si="3"/>
        <v>1400</v>
      </c>
      <c r="I32" s="128">
        <f t="shared" si="4"/>
        <v>1480</v>
      </c>
      <c r="J32" s="128">
        <f t="shared" si="5"/>
        <v>1500</v>
      </c>
      <c r="K32" s="128">
        <f t="shared" si="6"/>
        <v>1480</v>
      </c>
      <c r="L32" s="128">
        <f t="shared" si="7"/>
        <v>1480</v>
      </c>
      <c r="M32" s="128">
        <f t="shared" si="8"/>
        <v>1500</v>
      </c>
      <c r="N32" s="128">
        <f t="shared" si="9"/>
        <v>1400</v>
      </c>
      <c r="O32" s="128">
        <f t="shared" si="10"/>
        <v>1480</v>
      </c>
      <c r="P32" s="126">
        <f t="shared" si="11"/>
        <v>1480</v>
      </c>
      <c r="Q32" s="126">
        <f t="shared" si="12"/>
        <v>1480</v>
      </c>
      <c r="R32" s="126">
        <f t="shared" si="13"/>
        <v>1500</v>
      </c>
      <c r="S32" s="126">
        <f t="shared" si="14"/>
        <v>1400</v>
      </c>
      <c r="T32" s="126">
        <f t="shared" si="15"/>
        <v>1480</v>
      </c>
      <c r="U32" s="126">
        <f t="shared" si="16"/>
        <v>1500</v>
      </c>
      <c r="V32" s="126">
        <f t="shared" si="17"/>
        <v>1480</v>
      </c>
      <c r="W32" s="126">
        <f t="shared" si="18"/>
        <v>1480</v>
      </c>
      <c r="X32" s="126">
        <f t="shared" si="19"/>
        <v>1500</v>
      </c>
      <c r="Y32" s="126">
        <f t="shared" si="20"/>
        <v>1400</v>
      </c>
      <c r="Z32" s="126">
        <f t="shared" si="21"/>
        <v>1480</v>
      </c>
      <c r="AA32" s="126">
        <f t="shared" si="22"/>
        <v>1500</v>
      </c>
      <c r="AB32" s="126">
        <f t="shared" si="23"/>
        <v>1480</v>
      </c>
    </row>
    <row r="33" spans="1:28" x14ac:dyDescent="0.3">
      <c r="A33" s="131" t="s">
        <v>197</v>
      </c>
      <c r="B33" s="91">
        <v>5</v>
      </c>
      <c r="C33" s="102" t="s">
        <v>122</v>
      </c>
      <c r="D33" s="142">
        <f>'COSTO DE PRODUCCION'!W11</f>
        <v>25</v>
      </c>
      <c r="E33" s="126">
        <f t="shared" si="24"/>
        <v>3000</v>
      </c>
      <c r="F33" s="128">
        <f t="shared" si="1"/>
        <v>3050</v>
      </c>
      <c r="G33" s="128">
        <f t="shared" si="2"/>
        <v>3100</v>
      </c>
      <c r="H33" s="128">
        <f t="shared" si="3"/>
        <v>3125</v>
      </c>
      <c r="I33" s="128">
        <f t="shared" si="4"/>
        <v>3075</v>
      </c>
      <c r="J33" s="128">
        <f t="shared" si="5"/>
        <v>3100</v>
      </c>
      <c r="K33" s="128">
        <f t="shared" si="6"/>
        <v>3150</v>
      </c>
      <c r="L33" s="128">
        <f t="shared" si="7"/>
        <v>3050</v>
      </c>
      <c r="M33" s="128">
        <f t="shared" si="8"/>
        <v>3100</v>
      </c>
      <c r="N33" s="128">
        <f t="shared" si="9"/>
        <v>3125</v>
      </c>
      <c r="O33" s="128">
        <f t="shared" si="10"/>
        <v>3075</v>
      </c>
      <c r="P33" s="126">
        <f t="shared" si="11"/>
        <v>3150</v>
      </c>
      <c r="Q33" s="126">
        <f t="shared" si="12"/>
        <v>3050</v>
      </c>
      <c r="R33" s="126">
        <f t="shared" si="13"/>
        <v>3100</v>
      </c>
      <c r="S33" s="126">
        <f t="shared" si="14"/>
        <v>3125</v>
      </c>
      <c r="T33" s="126">
        <f t="shared" si="15"/>
        <v>3075</v>
      </c>
      <c r="U33" s="126">
        <f t="shared" si="16"/>
        <v>3100</v>
      </c>
      <c r="V33" s="126">
        <f t="shared" si="17"/>
        <v>3150</v>
      </c>
      <c r="W33" s="126">
        <f t="shared" si="18"/>
        <v>3150</v>
      </c>
      <c r="X33" s="126">
        <f t="shared" si="19"/>
        <v>3100</v>
      </c>
      <c r="Y33" s="126">
        <f t="shared" si="20"/>
        <v>3125</v>
      </c>
      <c r="Z33" s="126">
        <f t="shared" si="21"/>
        <v>3075</v>
      </c>
      <c r="AA33" s="126">
        <f t="shared" si="22"/>
        <v>3100</v>
      </c>
      <c r="AB33" s="126">
        <f t="shared" si="23"/>
        <v>3150</v>
      </c>
    </row>
    <row r="34" spans="1:28" x14ac:dyDescent="0.3">
      <c r="A34" s="131" t="s">
        <v>197</v>
      </c>
      <c r="B34" s="91">
        <v>6</v>
      </c>
      <c r="C34" s="102" t="s">
        <v>123</v>
      </c>
      <c r="D34" s="142">
        <f>'COSTO DE PRODUCCION'!W12</f>
        <v>25</v>
      </c>
      <c r="E34" s="126">
        <f t="shared" si="24"/>
        <v>2400</v>
      </c>
      <c r="F34" s="128">
        <f t="shared" si="1"/>
        <v>2400</v>
      </c>
      <c r="G34" s="128">
        <f t="shared" si="2"/>
        <v>2375</v>
      </c>
      <c r="H34" s="128">
        <f t="shared" si="3"/>
        <v>2350</v>
      </c>
      <c r="I34" s="128">
        <f t="shared" si="4"/>
        <v>2350</v>
      </c>
      <c r="J34" s="128">
        <f t="shared" si="5"/>
        <v>2375</v>
      </c>
      <c r="K34" s="128">
        <f t="shared" si="6"/>
        <v>2450</v>
      </c>
      <c r="L34" s="128">
        <f t="shared" si="7"/>
        <v>2400</v>
      </c>
      <c r="M34" s="128">
        <f t="shared" si="8"/>
        <v>2375</v>
      </c>
      <c r="N34" s="128">
        <f t="shared" si="9"/>
        <v>2350</v>
      </c>
      <c r="O34" s="128">
        <f t="shared" si="10"/>
        <v>2350</v>
      </c>
      <c r="P34" s="126">
        <f t="shared" si="11"/>
        <v>2450</v>
      </c>
      <c r="Q34" s="126">
        <f t="shared" si="12"/>
        <v>2400</v>
      </c>
      <c r="R34" s="126">
        <f t="shared" si="13"/>
        <v>2375</v>
      </c>
      <c r="S34" s="126">
        <f t="shared" si="14"/>
        <v>2350</v>
      </c>
      <c r="T34" s="126">
        <f t="shared" si="15"/>
        <v>2350</v>
      </c>
      <c r="U34" s="126">
        <f t="shared" si="16"/>
        <v>2375</v>
      </c>
      <c r="V34" s="126">
        <f t="shared" si="17"/>
        <v>2450</v>
      </c>
      <c r="W34" s="126">
        <f t="shared" si="18"/>
        <v>2450</v>
      </c>
      <c r="X34" s="126">
        <f t="shared" si="19"/>
        <v>2375</v>
      </c>
      <c r="Y34" s="126">
        <f t="shared" si="20"/>
        <v>2350</v>
      </c>
      <c r="Z34" s="126">
        <f t="shared" si="21"/>
        <v>2350</v>
      </c>
      <c r="AA34" s="126">
        <f t="shared" si="22"/>
        <v>2375</v>
      </c>
      <c r="AB34" s="126">
        <f t="shared" si="23"/>
        <v>2450</v>
      </c>
    </row>
    <row r="35" spans="1:28" x14ac:dyDescent="0.3">
      <c r="A35" s="131" t="s">
        <v>197</v>
      </c>
      <c r="B35" s="91">
        <v>7</v>
      </c>
      <c r="C35" s="102" t="s">
        <v>124</v>
      </c>
      <c r="D35" s="142">
        <f>'COSTO DE PRODUCCION'!W13</f>
        <v>25</v>
      </c>
      <c r="E35" s="126">
        <f t="shared" si="24"/>
        <v>3000</v>
      </c>
      <c r="F35" s="128">
        <f t="shared" si="1"/>
        <v>3100</v>
      </c>
      <c r="G35" s="128">
        <f t="shared" si="2"/>
        <v>3050</v>
      </c>
      <c r="H35" s="128">
        <f t="shared" si="3"/>
        <v>3100</v>
      </c>
      <c r="I35" s="128">
        <f t="shared" si="4"/>
        <v>3125</v>
      </c>
      <c r="J35" s="128">
        <f t="shared" si="5"/>
        <v>3050</v>
      </c>
      <c r="K35" s="128">
        <f t="shared" si="6"/>
        <v>3125</v>
      </c>
      <c r="L35" s="128">
        <f t="shared" si="7"/>
        <v>3100</v>
      </c>
      <c r="M35" s="128">
        <f t="shared" si="8"/>
        <v>3050</v>
      </c>
      <c r="N35" s="128">
        <f t="shared" si="9"/>
        <v>3100</v>
      </c>
      <c r="O35" s="128">
        <f t="shared" si="10"/>
        <v>3125</v>
      </c>
      <c r="P35" s="126">
        <f t="shared" si="11"/>
        <v>3125</v>
      </c>
      <c r="Q35" s="126">
        <f t="shared" si="12"/>
        <v>3100</v>
      </c>
      <c r="R35" s="126">
        <f t="shared" si="13"/>
        <v>3050</v>
      </c>
      <c r="S35" s="126">
        <f t="shared" si="14"/>
        <v>3100</v>
      </c>
      <c r="T35" s="126">
        <f t="shared" si="15"/>
        <v>3125</v>
      </c>
      <c r="U35" s="126">
        <f t="shared" si="16"/>
        <v>3050</v>
      </c>
      <c r="V35" s="126">
        <f t="shared" si="17"/>
        <v>3125</v>
      </c>
      <c r="W35" s="126">
        <f t="shared" si="18"/>
        <v>3125</v>
      </c>
      <c r="X35" s="126">
        <f t="shared" si="19"/>
        <v>3050</v>
      </c>
      <c r="Y35" s="126">
        <f t="shared" si="20"/>
        <v>3100</v>
      </c>
      <c r="Z35" s="126">
        <f t="shared" si="21"/>
        <v>3125</v>
      </c>
      <c r="AA35" s="126">
        <f t="shared" si="22"/>
        <v>3050</v>
      </c>
      <c r="AB35" s="126">
        <f t="shared" si="23"/>
        <v>3125</v>
      </c>
    </row>
    <row r="36" spans="1:28" x14ac:dyDescent="0.3">
      <c r="A36" s="131" t="s">
        <v>197</v>
      </c>
      <c r="B36" s="91">
        <v>8</v>
      </c>
      <c r="C36" s="102" t="s">
        <v>125</v>
      </c>
      <c r="D36" s="142">
        <f>'COSTO DE PRODUCCION'!W14</f>
        <v>25</v>
      </c>
      <c r="E36" s="126">
        <f t="shared" si="24"/>
        <v>1800</v>
      </c>
      <c r="F36" s="128">
        <f t="shared" si="1"/>
        <v>1850</v>
      </c>
      <c r="G36" s="128">
        <f t="shared" si="2"/>
        <v>1800</v>
      </c>
      <c r="H36" s="128">
        <f t="shared" si="3"/>
        <v>1800</v>
      </c>
      <c r="I36" s="128">
        <f t="shared" si="4"/>
        <v>1750</v>
      </c>
      <c r="J36" s="128">
        <f t="shared" si="5"/>
        <v>1800</v>
      </c>
      <c r="K36" s="128">
        <f t="shared" si="6"/>
        <v>1850</v>
      </c>
      <c r="L36" s="128">
        <f t="shared" si="7"/>
        <v>1850</v>
      </c>
      <c r="M36" s="128">
        <f t="shared" si="8"/>
        <v>1800</v>
      </c>
      <c r="N36" s="128">
        <f t="shared" si="9"/>
        <v>1800</v>
      </c>
      <c r="O36" s="128">
        <f t="shared" si="10"/>
        <v>1750</v>
      </c>
      <c r="P36" s="126">
        <f t="shared" si="11"/>
        <v>1850</v>
      </c>
      <c r="Q36" s="126">
        <f t="shared" si="12"/>
        <v>1850</v>
      </c>
      <c r="R36" s="126">
        <f t="shared" si="13"/>
        <v>1800</v>
      </c>
      <c r="S36" s="126">
        <f t="shared" si="14"/>
        <v>1800</v>
      </c>
      <c r="T36" s="126">
        <f t="shared" si="15"/>
        <v>1750</v>
      </c>
      <c r="U36" s="126">
        <f t="shared" si="16"/>
        <v>1800</v>
      </c>
      <c r="V36" s="126">
        <f t="shared" si="17"/>
        <v>1850</v>
      </c>
      <c r="W36" s="126">
        <f t="shared" si="18"/>
        <v>1850</v>
      </c>
      <c r="X36" s="126">
        <f t="shared" si="19"/>
        <v>1800</v>
      </c>
      <c r="Y36" s="126">
        <f t="shared" si="20"/>
        <v>1800</v>
      </c>
      <c r="Z36" s="126">
        <f t="shared" si="21"/>
        <v>1750</v>
      </c>
      <c r="AA36" s="126">
        <f t="shared" si="22"/>
        <v>1800</v>
      </c>
      <c r="AB36" s="126">
        <f t="shared" si="23"/>
        <v>1850</v>
      </c>
    </row>
    <row r="37" spans="1:28" x14ac:dyDescent="0.3">
      <c r="A37" s="131" t="s">
        <v>197</v>
      </c>
      <c r="B37" s="91">
        <v>9</v>
      </c>
      <c r="C37" s="102" t="s">
        <v>126</v>
      </c>
      <c r="D37" s="142">
        <f>'COSTO DE PRODUCCION'!W15</f>
        <v>30</v>
      </c>
      <c r="E37" s="126">
        <f t="shared" si="24"/>
        <v>2880</v>
      </c>
      <c r="F37" s="128">
        <f t="shared" si="1"/>
        <v>2940</v>
      </c>
      <c r="G37" s="128">
        <f t="shared" si="2"/>
        <v>2940</v>
      </c>
      <c r="H37" s="128">
        <f t="shared" si="3"/>
        <v>2850</v>
      </c>
      <c r="I37" s="128">
        <f t="shared" si="4"/>
        <v>2820</v>
      </c>
      <c r="J37" s="128">
        <f t="shared" si="5"/>
        <v>2940</v>
      </c>
      <c r="K37" s="128">
        <f t="shared" si="6"/>
        <v>2940</v>
      </c>
      <c r="L37" s="128">
        <f t="shared" si="7"/>
        <v>2940</v>
      </c>
      <c r="M37" s="128">
        <f t="shared" si="8"/>
        <v>2940</v>
      </c>
      <c r="N37" s="128">
        <f t="shared" si="9"/>
        <v>2850</v>
      </c>
      <c r="O37" s="128">
        <f t="shared" si="10"/>
        <v>2820</v>
      </c>
      <c r="P37" s="126">
        <f t="shared" si="11"/>
        <v>2940</v>
      </c>
      <c r="Q37" s="126">
        <f t="shared" si="12"/>
        <v>2940</v>
      </c>
      <c r="R37" s="126">
        <f t="shared" si="13"/>
        <v>2940</v>
      </c>
      <c r="S37" s="126">
        <f t="shared" si="14"/>
        <v>2850</v>
      </c>
      <c r="T37" s="126">
        <f t="shared" si="15"/>
        <v>2820</v>
      </c>
      <c r="U37" s="126">
        <f t="shared" si="16"/>
        <v>2940</v>
      </c>
      <c r="V37" s="126">
        <f t="shared" si="17"/>
        <v>2940</v>
      </c>
      <c r="W37" s="126">
        <f t="shared" si="18"/>
        <v>2940</v>
      </c>
      <c r="X37" s="126">
        <f t="shared" si="19"/>
        <v>2940</v>
      </c>
      <c r="Y37" s="126">
        <f t="shared" si="20"/>
        <v>2850</v>
      </c>
      <c r="Z37" s="126">
        <f t="shared" si="21"/>
        <v>2820</v>
      </c>
      <c r="AA37" s="126">
        <f t="shared" si="22"/>
        <v>2940</v>
      </c>
      <c r="AB37" s="126">
        <f t="shared" si="23"/>
        <v>2940</v>
      </c>
    </row>
    <row r="38" spans="1:28" x14ac:dyDescent="0.3">
      <c r="A38" s="131" t="s">
        <v>197</v>
      </c>
      <c r="B38" s="91">
        <v>10</v>
      </c>
      <c r="C38" s="102" t="s">
        <v>127</v>
      </c>
      <c r="D38" s="142">
        <f>'COSTO DE PRODUCCION'!W16</f>
        <v>25</v>
      </c>
      <c r="E38" s="126">
        <f t="shared" si="24"/>
        <v>3600</v>
      </c>
      <c r="F38" s="128">
        <f t="shared" si="1"/>
        <v>3625</v>
      </c>
      <c r="G38" s="128">
        <f t="shared" si="2"/>
        <v>3550</v>
      </c>
      <c r="H38" s="128">
        <f t="shared" si="3"/>
        <v>3600</v>
      </c>
      <c r="I38" s="128">
        <f t="shared" si="4"/>
        <v>3650</v>
      </c>
      <c r="J38" s="128">
        <f t="shared" si="5"/>
        <v>3550</v>
      </c>
      <c r="K38" s="128">
        <f t="shared" si="6"/>
        <v>3625</v>
      </c>
      <c r="L38" s="128">
        <f t="shared" si="7"/>
        <v>3625</v>
      </c>
      <c r="M38" s="128">
        <f t="shared" si="8"/>
        <v>3550</v>
      </c>
      <c r="N38" s="128">
        <f t="shared" si="9"/>
        <v>3600</v>
      </c>
      <c r="O38" s="128">
        <f t="shared" si="10"/>
        <v>3650</v>
      </c>
      <c r="P38" s="126">
        <f t="shared" si="11"/>
        <v>3625</v>
      </c>
      <c r="Q38" s="126">
        <f t="shared" si="12"/>
        <v>3625</v>
      </c>
      <c r="R38" s="126">
        <f t="shared" si="13"/>
        <v>3550</v>
      </c>
      <c r="S38" s="126">
        <f t="shared" si="14"/>
        <v>3600</v>
      </c>
      <c r="T38" s="126">
        <f t="shared" si="15"/>
        <v>3650</v>
      </c>
      <c r="U38" s="126">
        <f t="shared" si="16"/>
        <v>3550</v>
      </c>
      <c r="V38" s="126">
        <f t="shared" si="17"/>
        <v>3625</v>
      </c>
      <c r="W38" s="126">
        <f t="shared" si="18"/>
        <v>3625</v>
      </c>
      <c r="X38" s="126">
        <f t="shared" si="19"/>
        <v>3550</v>
      </c>
      <c r="Y38" s="126">
        <f t="shared" si="20"/>
        <v>3600</v>
      </c>
      <c r="Z38" s="126">
        <f t="shared" si="21"/>
        <v>3650</v>
      </c>
      <c r="AA38" s="126">
        <f t="shared" si="22"/>
        <v>3550</v>
      </c>
      <c r="AB38" s="126">
        <f t="shared" si="23"/>
        <v>3625</v>
      </c>
    </row>
    <row r="39" spans="1:28" x14ac:dyDescent="0.3">
      <c r="A39" s="131" t="s">
        <v>197</v>
      </c>
      <c r="B39" s="91">
        <v>11</v>
      </c>
      <c r="C39" s="102" t="s">
        <v>128</v>
      </c>
      <c r="D39" s="142">
        <f>'COSTO DE PRODUCCION'!W17</f>
        <v>42</v>
      </c>
      <c r="E39" s="126">
        <f t="shared" si="24"/>
        <v>2520</v>
      </c>
      <c r="F39" s="128">
        <f t="shared" si="1"/>
        <v>2604</v>
      </c>
      <c r="G39" s="128">
        <f t="shared" si="2"/>
        <v>2604</v>
      </c>
      <c r="H39" s="128">
        <f t="shared" si="3"/>
        <v>2688</v>
      </c>
      <c r="I39" s="128">
        <f t="shared" si="4"/>
        <v>2646</v>
      </c>
      <c r="J39" s="128">
        <f t="shared" si="5"/>
        <v>2604</v>
      </c>
      <c r="K39" s="128">
        <f t="shared" si="6"/>
        <v>2730</v>
      </c>
      <c r="L39" s="128">
        <f t="shared" si="7"/>
        <v>2604</v>
      </c>
      <c r="M39" s="128">
        <f t="shared" si="8"/>
        <v>2604</v>
      </c>
      <c r="N39" s="128">
        <f t="shared" si="9"/>
        <v>2688</v>
      </c>
      <c r="O39" s="128">
        <f t="shared" si="10"/>
        <v>2646</v>
      </c>
      <c r="P39" s="126">
        <f t="shared" si="11"/>
        <v>2730</v>
      </c>
      <c r="Q39" s="126">
        <f t="shared" si="12"/>
        <v>2604</v>
      </c>
      <c r="R39" s="126">
        <f t="shared" si="13"/>
        <v>2604</v>
      </c>
      <c r="S39" s="126">
        <f t="shared" si="14"/>
        <v>2688</v>
      </c>
      <c r="T39" s="126">
        <f t="shared" si="15"/>
        <v>2646</v>
      </c>
      <c r="U39" s="126">
        <f t="shared" si="16"/>
        <v>2604</v>
      </c>
      <c r="V39" s="126">
        <f t="shared" si="17"/>
        <v>2730</v>
      </c>
      <c r="W39" s="126">
        <f t="shared" si="18"/>
        <v>2730</v>
      </c>
      <c r="X39" s="126">
        <f t="shared" si="19"/>
        <v>2604</v>
      </c>
      <c r="Y39" s="126">
        <f t="shared" si="20"/>
        <v>2688</v>
      </c>
      <c r="Z39" s="126">
        <f t="shared" si="21"/>
        <v>2646</v>
      </c>
      <c r="AA39" s="126">
        <f t="shared" si="22"/>
        <v>2604</v>
      </c>
      <c r="AB39" s="126">
        <f t="shared" si="23"/>
        <v>2730</v>
      </c>
    </row>
    <row r="40" spans="1:28" x14ac:dyDescent="0.3">
      <c r="A40" s="131" t="s">
        <v>197</v>
      </c>
      <c r="B40" s="91">
        <v>12</v>
      </c>
      <c r="C40" s="102" t="s">
        <v>129</v>
      </c>
      <c r="D40" s="142">
        <f>'COSTO DE PRODUCCION'!W18</f>
        <v>22</v>
      </c>
      <c r="E40" s="126">
        <f t="shared" si="24"/>
        <v>2640</v>
      </c>
      <c r="F40" s="128">
        <f t="shared" si="1"/>
        <v>2684</v>
      </c>
      <c r="G40" s="128">
        <f t="shared" si="2"/>
        <v>2728</v>
      </c>
      <c r="H40" s="128">
        <f t="shared" si="3"/>
        <v>2772</v>
      </c>
      <c r="I40" s="128">
        <f t="shared" si="4"/>
        <v>2728</v>
      </c>
      <c r="J40" s="128">
        <f t="shared" si="5"/>
        <v>2728</v>
      </c>
      <c r="K40" s="128">
        <f t="shared" si="6"/>
        <v>2772</v>
      </c>
      <c r="L40" s="128">
        <f t="shared" si="7"/>
        <v>2684</v>
      </c>
      <c r="M40" s="128">
        <f t="shared" si="8"/>
        <v>2728</v>
      </c>
      <c r="N40" s="128">
        <f t="shared" si="9"/>
        <v>2772</v>
      </c>
      <c r="O40" s="128">
        <f t="shared" si="10"/>
        <v>2728</v>
      </c>
      <c r="P40" s="126">
        <f t="shared" si="11"/>
        <v>2772</v>
      </c>
      <c r="Q40" s="126">
        <f t="shared" si="12"/>
        <v>2684</v>
      </c>
      <c r="R40" s="126">
        <f t="shared" si="13"/>
        <v>2728</v>
      </c>
      <c r="S40" s="126">
        <f t="shared" si="14"/>
        <v>2772</v>
      </c>
      <c r="T40" s="126">
        <f t="shared" si="15"/>
        <v>2728</v>
      </c>
      <c r="U40" s="126">
        <f t="shared" si="16"/>
        <v>2728</v>
      </c>
      <c r="V40" s="126">
        <f t="shared" si="17"/>
        <v>2772</v>
      </c>
      <c r="W40" s="126">
        <f t="shared" si="18"/>
        <v>2772</v>
      </c>
      <c r="X40" s="126">
        <f t="shared" si="19"/>
        <v>2728</v>
      </c>
      <c r="Y40" s="126">
        <f t="shared" si="20"/>
        <v>2772</v>
      </c>
      <c r="Z40" s="126">
        <f t="shared" si="21"/>
        <v>2728</v>
      </c>
      <c r="AA40" s="126">
        <f t="shared" si="22"/>
        <v>2728</v>
      </c>
      <c r="AB40" s="126">
        <f t="shared" si="23"/>
        <v>2772</v>
      </c>
    </row>
    <row r="41" spans="1:28" x14ac:dyDescent="0.3">
      <c r="A41" s="131" t="s">
        <v>197</v>
      </c>
      <c r="B41" s="91">
        <v>13</v>
      </c>
      <c r="C41" s="102" t="s">
        <v>130</v>
      </c>
      <c r="D41" s="142">
        <f>'COSTO DE PRODUCCION'!W19</f>
        <v>50</v>
      </c>
      <c r="E41" s="126">
        <f t="shared" si="24"/>
        <v>3600</v>
      </c>
      <c r="F41" s="128">
        <f t="shared" si="1"/>
        <v>3500</v>
      </c>
      <c r="G41" s="128">
        <f t="shared" si="2"/>
        <v>3500</v>
      </c>
      <c r="H41" s="128">
        <f t="shared" si="3"/>
        <v>3600</v>
      </c>
      <c r="I41" s="128">
        <f t="shared" si="4"/>
        <v>3500</v>
      </c>
      <c r="J41" s="128">
        <f t="shared" si="5"/>
        <v>3500</v>
      </c>
      <c r="K41" s="128">
        <f t="shared" si="6"/>
        <v>3700</v>
      </c>
      <c r="L41" s="128">
        <f t="shared" si="7"/>
        <v>3500</v>
      </c>
      <c r="M41" s="128">
        <f t="shared" si="8"/>
        <v>3500</v>
      </c>
      <c r="N41" s="128">
        <f t="shared" si="9"/>
        <v>3600</v>
      </c>
      <c r="O41" s="128">
        <f t="shared" si="10"/>
        <v>3500</v>
      </c>
      <c r="P41" s="126">
        <f t="shared" si="11"/>
        <v>3700</v>
      </c>
      <c r="Q41" s="126">
        <f t="shared" si="12"/>
        <v>3500</v>
      </c>
      <c r="R41" s="126">
        <f t="shared" si="13"/>
        <v>3500</v>
      </c>
      <c r="S41" s="126">
        <f t="shared" si="14"/>
        <v>3600</v>
      </c>
      <c r="T41" s="126">
        <f t="shared" si="15"/>
        <v>3500</v>
      </c>
      <c r="U41" s="126">
        <f t="shared" si="16"/>
        <v>3500</v>
      </c>
      <c r="V41" s="126">
        <f t="shared" si="17"/>
        <v>3700</v>
      </c>
      <c r="W41" s="126">
        <f t="shared" si="18"/>
        <v>3700</v>
      </c>
      <c r="X41" s="126">
        <f t="shared" si="19"/>
        <v>3500</v>
      </c>
      <c r="Y41" s="126">
        <f t="shared" si="20"/>
        <v>3600</v>
      </c>
      <c r="Z41" s="126">
        <f t="shared" si="21"/>
        <v>3500</v>
      </c>
      <c r="AA41" s="126">
        <f t="shared" si="22"/>
        <v>3500</v>
      </c>
      <c r="AB41" s="126">
        <f t="shared" si="23"/>
        <v>3700</v>
      </c>
    </row>
    <row r="42" spans="1:28" x14ac:dyDescent="0.3">
      <c r="A42" s="131" t="s">
        <v>197</v>
      </c>
      <c r="B42" s="91">
        <v>14</v>
      </c>
      <c r="C42" s="102" t="s">
        <v>142</v>
      </c>
      <c r="D42" s="142">
        <f>'COSTO DE PRODUCCION'!W20</f>
        <v>32</v>
      </c>
      <c r="E42" s="126">
        <f t="shared" si="24"/>
        <v>3104</v>
      </c>
      <c r="F42" s="128">
        <f>E20*D42</f>
        <v>3072</v>
      </c>
      <c r="G42" s="128">
        <f t="shared" si="2"/>
        <v>3040</v>
      </c>
      <c r="H42" s="128">
        <f t="shared" si="3"/>
        <v>3008</v>
      </c>
      <c r="I42" s="128">
        <f t="shared" si="4"/>
        <v>3040</v>
      </c>
      <c r="J42" s="128">
        <f t="shared" si="5"/>
        <v>3040</v>
      </c>
      <c r="K42" s="128">
        <f t="shared" si="6"/>
        <v>3136</v>
      </c>
      <c r="L42" s="128">
        <f t="shared" si="7"/>
        <v>3072</v>
      </c>
      <c r="M42" s="128">
        <f t="shared" si="8"/>
        <v>3040</v>
      </c>
      <c r="N42" s="128">
        <f t="shared" si="9"/>
        <v>3008</v>
      </c>
      <c r="O42" s="128">
        <f t="shared" si="10"/>
        <v>3040</v>
      </c>
      <c r="P42" s="126">
        <f t="shared" si="11"/>
        <v>3136</v>
      </c>
      <c r="Q42" s="126">
        <f t="shared" si="12"/>
        <v>3072</v>
      </c>
      <c r="R42" s="126">
        <f t="shared" si="13"/>
        <v>3040</v>
      </c>
      <c r="S42" s="126">
        <f t="shared" si="14"/>
        <v>3008</v>
      </c>
      <c r="T42" s="126">
        <f t="shared" si="15"/>
        <v>3040</v>
      </c>
      <c r="U42" s="126">
        <f t="shared" si="16"/>
        <v>3040</v>
      </c>
      <c r="V42" s="126">
        <f t="shared" si="17"/>
        <v>3136</v>
      </c>
      <c r="W42" s="126">
        <f t="shared" si="18"/>
        <v>3136</v>
      </c>
      <c r="X42" s="126">
        <f t="shared" si="19"/>
        <v>3040</v>
      </c>
      <c r="Y42" s="126">
        <f t="shared" si="20"/>
        <v>3008</v>
      </c>
      <c r="Z42" s="126">
        <f t="shared" si="21"/>
        <v>3040</v>
      </c>
      <c r="AA42" s="126">
        <f t="shared" si="22"/>
        <v>3040</v>
      </c>
      <c r="AB42" s="126">
        <f t="shared" si="23"/>
        <v>3136</v>
      </c>
    </row>
    <row r="43" spans="1:28" x14ac:dyDescent="0.3">
      <c r="A43" s="131" t="s">
        <v>197</v>
      </c>
      <c r="B43" s="91">
        <v>15</v>
      </c>
      <c r="C43" s="102" t="s">
        <v>143</v>
      </c>
      <c r="D43" s="142">
        <f>'COSTO DE PRODUCCION'!W21</f>
        <v>28</v>
      </c>
      <c r="E43" s="126">
        <f t="shared" si="24"/>
        <v>2380</v>
      </c>
      <c r="F43" s="128">
        <f t="shared" si="1"/>
        <v>2296</v>
      </c>
      <c r="G43" s="128">
        <f t="shared" si="2"/>
        <v>2380</v>
      </c>
      <c r="H43" s="128">
        <f t="shared" si="3"/>
        <v>2408</v>
      </c>
      <c r="I43" s="128">
        <f t="shared" si="4"/>
        <v>2464</v>
      </c>
      <c r="J43" s="128">
        <f t="shared" si="5"/>
        <v>2380</v>
      </c>
      <c r="K43" s="128">
        <f t="shared" si="6"/>
        <v>2408</v>
      </c>
      <c r="L43" s="128">
        <f t="shared" si="7"/>
        <v>2296</v>
      </c>
      <c r="M43" s="128">
        <f t="shared" si="8"/>
        <v>2380</v>
      </c>
      <c r="N43" s="128">
        <f t="shared" si="9"/>
        <v>2408</v>
      </c>
      <c r="O43" s="128">
        <f t="shared" si="10"/>
        <v>2464</v>
      </c>
      <c r="P43" s="126">
        <f t="shared" si="11"/>
        <v>2408</v>
      </c>
      <c r="Q43" s="126">
        <f t="shared" si="12"/>
        <v>2296</v>
      </c>
      <c r="R43" s="126">
        <f t="shared" si="13"/>
        <v>2380</v>
      </c>
      <c r="S43" s="126">
        <f t="shared" si="14"/>
        <v>2408</v>
      </c>
      <c r="T43" s="126">
        <f t="shared" si="15"/>
        <v>2464</v>
      </c>
      <c r="U43" s="126">
        <f t="shared" si="16"/>
        <v>2380</v>
      </c>
      <c r="V43" s="126">
        <f t="shared" si="17"/>
        <v>2408</v>
      </c>
      <c r="W43" s="126">
        <f t="shared" si="18"/>
        <v>2408</v>
      </c>
      <c r="X43" s="126">
        <f t="shared" si="19"/>
        <v>2380</v>
      </c>
      <c r="Y43" s="126">
        <f t="shared" si="20"/>
        <v>2408</v>
      </c>
      <c r="Z43" s="126">
        <f t="shared" si="21"/>
        <v>2464</v>
      </c>
      <c r="AA43" s="126">
        <f t="shared" si="22"/>
        <v>2380</v>
      </c>
      <c r="AB43" s="126">
        <f t="shared" si="23"/>
        <v>2408</v>
      </c>
    </row>
    <row r="44" spans="1:28" x14ac:dyDescent="0.3">
      <c r="A44" s="131" t="s">
        <v>197</v>
      </c>
      <c r="B44" s="91">
        <v>16</v>
      </c>
      <c r="C44" s="102" t="s">
        <v>144</v>
      </c>
      <c r="D44" s="142">
        <f>'COSTO DE PRODUCCION'!W22</f>
        <v>25</v>
      </c>
      <c r="E44" s="126">
        <f t="shared" si="24"/>
        <v>2025</v>
      </c>
      <c r="F44" s="128">
        <f t="shared" si="1"/>
        <v>2050</v>
      </c>
      <c r="G44" s="128">
        <f t="shared" si="2"/>
        <v>2100</v>
      </c>
      <c r="H44" s="128">
        <f t="shared" si="3"/>
        <v>2125</v>
      </c>
      <c r="I44" s="128">
        <f t="shared" si="4"/>
        <v>2150</v>
      </c>
      <c r="J44" s="128">
        <f t="shared" si="5"/>
        <v>2100</v>
      </c>
      <c r="K44" s="128">
        <f t="shared" si="6"/>
        <v>2125</v>
      </c>
      <c r="L44" s="128">
        <f t="shared" si="7"/>
        <v>2050</v>
      </c>
      <c r="M44" s="128">
        <f t="shared" si="8"/>
        <v>2100</v>
      </c>
      <c r="N44" s="128">
        <f t="shared" si="9"/>
        <v>2125</v>
      </c>
      <c r="O44" s="128">
        <f t="shared" si="10"/>
        <v>2150</v>
      </c>
      <c r="P44" s="126">
        <f t="shared" si="11"/>
        <v>2125</v>
      </c>
      <c r="Q44" s="126">
        <f t="shared" si="12"/>
        <v>2050</v>
      </c>
      <c r="R44" s="126">
        <f t="shared" si="13"/>
        <v>2100</v>
      </c>
      <c r="S44" s="126">
        <f t="shared" si="14"/>
        <v>2125</v>
      </c>
      <c r="T44" s="126">
        <f t="shared" si="15"/>
        <v>2150</v>
      </c>
      <c r="U44" s="126">
        <f t="shared" si="16"/>
        <v>2100</v>
      </c>
      <c r="V44" s="126">
        <f t="shared" si="17"/>
        <v>2125</v>
      </c>
      <c r="W44" s="126">
        <f t="shared" si="18"/>
        <v>2125</v>
      </c>
      <c r="X44" s="126">
        <f t="shared" si="19"/>
        <v>2100</v>
      </c>
      <c r="Y44" s="126">
        <f t="shared" si="20"/>
        <v>2125</v>
      </c>
      <c r="Z44" s="126">
        <f t="shared" si="21"/>
        <v>2150</v>
      </c>
      <c r="AA44" s="126">
        <f t="shared" si="22"/>
        <v>2100</v>
      </c>
      <c r="AB44" s="126">
        <f t="shared" si="23"/>
        <v>2125</v>
      </c>
    </row>
    <row r="45" spans="1:28" x14ac:dyDescent="0.3">
      <c r="A45" s="131" t="s">
        <v>197</v>
      </c>
      <c r="B45" s="91">
        <v>17</v>
      </c>
      <c r="C45" s="102" t="s">
        <v>145</v>
      </c>
      <c r="D45" s="142">
        <f>'COSTO DE PRODUCCION'!W23</f>
        <v>26</v>
      </c>
      <c r="E45" s="126">
        <f>D23*D45</f>
        <v>2366</v>
      </c>
      <c r="F45" s="128">
        <f t="shared" si="1"/>
        <v>2444</v>
      </c>
      <c r="G45" s="128">
        <f t="shared" si="2"/>
        <v>2496</v>
      </c>
      <c r="H45" s="128">
        <f t="shared" si="3"/>
        <v>2470</v>
      </c>
      <c r="I45" s="128">
        <f t="shared" si="4"/>
        <v>2548</v>
      </c>
      <c r="J45" s="128">
        <f t="shared" si="5"/>
        <v>2496</v>
      </c>
      <c r="K45" s="128">
        <f t="shared" si="6"/>
        <v>2548</v>
      </c>
      <c r="L45" s="128">
        <f t="shared" si="7"/>
        <v>2444</v>
      </c>
      <c r="M45" s="128">
        <f t="shared" si="8"/>
        <v>2496</v>
      </c>
      <c r="N45" s="128">
        <f t="shared" si="9"/>
        <v>2470</v>
      </c>
      <c r="O45" s="128">
        <f t="shared" si="10"/>
        <v>2548</v>
      </c>
      <c r="P45" s="126">
        <f t="shared" si="11"/>
        <v>2548</v>
      </c>
      <c r="Q45" s="126">
        <f t="shared" si="12"/>
        <v>2444</v>
      </c>
      <c r="R45" s="126">
        <f t="shared" si="13"/>
        <v>2496</v>
      </c>
      <c r="S45" s="126">
        <f t="shared" si="14"/>
        <v>2470</v>
      </c>
      <c r="T45" s="126">
        <f t="shared" si="15"/>
        <v>2548</v>
      </c>
      <c r="U45" s="126">
        <f t="shared" si="16"/>
        <v>2496</v>
      </c>
      <c r="V45" s="126">
        <f t="shared" si="17"/>
        <v>2548</v>
      </c>
      <c r="W45" s="126">
        <f t="shared" si="18"/>
        <v>2548</v>
      </c>
      <c r="X45" s="126">
        <f t="shared" si="19"/>
        <v>2496</v>
      </c>
      <c r="Y45" s="126">
        <f t="shared" si="20"/>
        <v>2470</v>
      </c>
      <c r="Z45" s="126">
        <f t="shared" si="21"/>
        <v>2548</v>
      </c>
      <c r="AA45" s="126">
        <f t="shared" si="22"/>
        <v>2496</v>
      </c>
      <c r="AB45" s="126">
        <f t="shared" si="23"/>
        <v>2548</v>
      </c>
    </row>
    <row r="46" spans="1:28" x14ac:dyDescent="0.3">
      <c r="B46" s="135"/>
      <c r="C46" s="609" t="s">
        <v>194</v>
      </c>
      <c r="D46" s="610"/>
      <c r="E46" s="140">
        <f>SUM(E29:E45)</f>
        <v>55475</v>
      </c>
      <c r="F46" s="140">
        <f t="shared" ref="F46:AB46" si="25">SUM(F29:F45)</f>
        <v>55920</v>
      </c>
      <c r="G46" s="140">
        <f t="shared" si="25"/>
        <v>55983</v>
      </c>
      <c r="H46" s="140">
        <f t="shared" si="25"/>
        <v>56161</v>
      </c>
      <c r="I46" s="140">
        <f t="shared" si="25"/>
        <v>56166</v>
      </c>
      <c r="J46" s="140">
        <f t="shared" si="25"/>
        <v>55998</v>
      </c>
      <c r="K46" s="140">
        <f t="shared" si="25"/>
        <v>57109</v>
      </c>
      <c r="L46" s="140">
        <f t="shared" si="25"/>
        <v>55920</v>
      </c>
      <c r="M46" s="140">
        <f t="shared" si="25"/>
        <v>55983</v>
      </c>
      <c r="N46" s="140">
        <f t="shared" si="25"/>
        <v>56161</v>
      </c>
      <c r="O46" s="140">
        <f t="shared" si="25"/>
        <v>56166</v>
      </c>
      <c r="P46" s="140">
        <f t="shared" si="25"/>
        <v>57109</v>
      </c>
      <c r="Q46" s="140">
        <f t="shared" si="25"/>
        <v>55920</v>
      </c>
      <c r="R46" s="140">
        <f t="shared" si="25"/>
        <v>55983</v>
      </c>
      <c r="S46" s="140">
        <f t="shared" si="25"/>
        <v>56161</v>
      </c>
      <c r="T46" s="140">
        <f t="shared" si="25"/>
        <v>56166</v>
      </c>
      <c r="U46" s="140">
        <f t="shared" si="25"/>
        <v>55998</v>
      </c>
      <c r="V46" s="140">
        <f t="shared" si="25"/>
        <v>57109</v>
      </c>
      <c r="W46" s="140">
        <f t="shared" si="25"/>
        <v>57109</v>
      </c>
      <c r="X46" s="140">
        <f t="shared" si="25"/>
        <v>55983</v>
      </c>
      <c r="Y46" s="140">
        <f t="shared" si="25"/>
        <v>56161</v>
      </c>
      <c r="Z46" s="140">
        <f t="shared" si="25"/>
        <v>56166</v>
      </c>
      <c r="AA46" s="140">
        <f t="shared" si="25"/>
        <v>55998</v>
      </c>
      <c r="AB46" s="140">
        <f t="shared" si="25"/>
        <v>57109</v>
      </c>
    </row>
    <row r="48" spans="1:28" x14ac:dyDescent="0.3">
      <c r="D48" s="129"/>
    </row>
    <row r="49" spans="4:16" x14ac:dyDescent="0.3"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</row>
    <row r="50" spans="4:16" x14ac:dyDescent="0.3">
      <c r="E50" s="129"/>
    </row>
    <row r="51" spans="4:16" x14ac:dyDescent="0.3">
      <c r="E51" s="129"/>
    </row>
    <row r="52" spans="4:16" x14ac:dyDescent="0.3">
      <c r="E52" s="129"/>
    </row>
    <row r="53" spans="4:16" x14ac:dyDescent="0.3">
      <c r="E53" s="129"/>
    </row>
    <row r="54" spans="4:16" x14ac:dyDescent="0.3">
      <c r="E54" s="129"/>
    </row>
    <row r="55" spans="4:16" x14ac:dyDescent="0.3">
      <c r="E55" s="129"/>
      <c r="F55" s="130"/>
    </row>
    <row r="56" spans="4:16" x14ac:dyDescent="0.3">
      <c r="E56" s="129"/>
    </row>
    <row r="57" spans="4:16" x14ac:dyDescent="0.3">
      <c r="E57" s="129"/>
    </row>
    <row r="58" spans="4:16" x14ac:dyDescent="0.3">
      <c r="E58" s="129"/>
    </row>
    <row r="59" spans="4:16" x14ac:dyDescent="0.3">
      <c r="E59" s="129"/>
    </row>
    <row r="60" spans="4:16" x14ac:dyDescent="0.3">
      <c r="E60" s="129"/>
    </row>
    <row r="61" spans="4:16" x14ac:dyDescent="0.3">
      <c r="E61" s="129"/>
    </row>
    <row r="62" spans="4:16" x14ac:dyDescent="0.3">
      <c r="D62" s="119">
        <v>29</v>
      </c>
    </row>
  </sheetData>
  <mergeCells count="3">
    <mergeCell ref="C46:D46"/>
    <mergeCell ref="C4:D4"/>
    <mergeCell ref="C3:O3"/>
  </mergeCells>
  <hyperlinks>
    <hyperlink ref="A1" location="INDICE!A1" display="INDIC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</sheetPr>
  <dimension ref="A1:M30"/>
  <sheetViews>
    <sheetView topLeftCell="A4" zoomScale="84" zoomScaleNormal="84" workbookViewId="0">
      <selection activeCell="H5" sqref="H5"/>
    </sheetView>
  </sheetViews>
  <sheetFormatPr baseColWidth="10" defaultRowHeight="12.75" x14ac:dyDescent="0.25"/>
  <cols>
    <col min="1" max="1" width="19.375" style="143" customWidth="1"/>
    <col min="2" max="2" width="9.625" style="143" customWidth="1"/>
    <col min="3" max="3" width="13.375" style="143" customWidth="1"/>
    <col min="4" max="4" width="10.5" style="143" customWidth="1"/>
    <col min="5" max="5" width="9.5" style="143" bestFit="1" customWidth="1"/>
    <col min="6" max="6" width="7.125" style="143" bestFit="1" customWidth="1"/>
    <col min="7" max="7" width="10.875" style="143" bestFit="1" customWidth="1"/>
    <col min="8" max="8" width="9.375" style="143" customWidth="1"/>
    <col min="9" max="9" width="10.875" style="143" customWidth="1"/>
    <col min="10" max="10" width="12.25" style="143" customWidth="1"/>
    <col min="11" max="13" width="11" style="143"/>
    <col min="14" max="256" width="10" style="143"/>
    <col min="257" max="257" width="35.625" style="143" customWidth="1"/>
    <col min="258" max="259" width="10" style="143"/>
    <col min="260" max="260" width="7.375" style="143" bestFit="1" customWidth="1"/>
    <col min="261" max="261" width="10.75" style="143" bestFit="1" customWidth="1"/>
    <col min="262" max="262" width="10" style="143" bestFit="1" customWidth="1"/>
    <col min="263" max="263" width="10.75" style="143" bestFit="1" customWidth="1"/>
    <col min="264" max="264" width="8.25" style="143" bestFit="1" customWidth="1"/>
    <col min="265" max="265" width="9.625" style="143" bestFit="1" customWidth="1"/>
    <col min="266" max="266" width="10.75" style="143" bestFit="1" customWidth="1"/>
    <col min="267" max="512" width="10" style="143"/>
    <col min="513" max="513" width="35.625" style="143" customWidth="1"/>
    <col min="514" max="515" width="10" style="143"/>
    <col min="516" max="516" width="7.375" style="143" bestFit="1" customWidth="1"/>
    <col min="517" max="517" width="10.75" style="143" bestFit="1" customWidth="1"/>
    <col min="518" max="518" width="10" style="143" bestFit="1" customWidth="1"/>
    <col min="519" max="519" width="10.75" style="143" bestFit="1" customWidth="1"/>
    <col min="520" max="520" width="8.25" style="143" bestFit="1" customWidth="1"/>
    <col min="521" max="521" width="9.625" style="143" bestFit="1" customWidth="1"/>
    <col min="522" max="522" width="10.75" style="143" bestFit="1" customWidth="1"/>
    <col min="523" max="768" width="10" style="143"/>
    <col min="769" max="769" width="35.625" style="143" customWidth="1"/>
    <col min="770" max="771" width="10" style="143"/>
    <col min="772" max="772" width="7.375" style="143" bestFit="1" customWidth="1"/>
    <col min="773" max="773" width="10.75" style="143" bestFit="1" customWidth="1"/>
    <col min="774" max="774" width="10" style="143" bestFit="1" customWidth="1"/>
    <col min="775" max="775" width="10.75" style="143" bestFit="1" customWidth="1"/>
    <col min="776" max="776" width="8.25" style="143" bestFit="1" customWidth="1"/>
    <col min="777" max="777" width="9.625" style="143" bestFit="1" customWidth="1"/>
    <col min="778" max="778" width="10.75" style="143" bestFit="1" customWidth="1"/>
    <col min="779" max="1024" width="11" style="143"/>
    <col min="1025" max="1025" width="35.625" style="143" customWidth="1"/>
    <col min="1026" max="1027" width="10" style="143"/>
    <col min="1028" max="1028" width="7.375" style="143" bestFit="1" customWidth="1"/>
    <col min="1029" max="1029" width="10.75" style="143" bestFit="1" customWidth="1"/>
    <col min="1030" max="1030" width="10" style="143" bestFit="1" customWidth="1"/>
    <col min="1031" max="1031" width="10.75" style="143" bestFit="1" customWidth="1"/>
    <col min="1032" max="1032" width="8.25" style="143" bestFit="1" customWidth="1"/>
    <col min="1033" max="1033" width="9.625" style="143" bestFit="1" customWidth="1"/>
    <col min="1034" max="1034" width="10.75" style="143" bestFit="1" customWidth="1"/>
    <col min="1035" max="1280" width="10" style="143"/>
    <col min="1281" max="1281" width="35.625" style="143" customWidth="1"/>
    <col min="1282" max="1283" width="10" style="143"/>
    <col min="1284" max="1284" width="7.375" style="143" bestFit="1" customWidth="1"/>
    <col min="1285" max="1285" width="10.75" style="143" bestFit="1" customWidth="1"/>
    <col min="1286" max="1286" width="10" style="143" bestFit="1" customWidth="1"/>
    <col min="1287" max="1287" width="10.75" style="143" bestFit="1" customWidth="1"/>
    <col min="1288" max="1288" width="8.25" style="143" bestFit="1" customWidth="1"/>
    <col min="1289" max="1289" width="9.625" style="143" bestFit="1" customWidth="1"/>
    <col min="1290" max="1290" width="10.75" style="143" bestFit="1" customWidth="1"/>
    <col min="1291" max="1536" width="10" style="143"/>
    <col min="1537" max="1537" width="35.625" style="143" customWidth="1"/>
    <col min="1538" max="1539" width="10" style="143"/>
    <col min="1540" max="1540" width="7.375" style="143" bestFit="1" customWidth="1"/>
    <col min="1541" max="1541" width="10.75" style="143" bestFit="1" customWidth="1"/>
    <col min="1542" max="1542" width="10" style="143" bestFit="1" customWidth="1"/>
    <col min="1543" max="1543" width="10.75" style="143" bestFit="1" customWidth="1"/>
    <col min="1544" max="1544" width="8.25" style="143" bestFit="1" customWidth="1"/>
    <col min="1545" max="1545" width="9.625" style="143" bestFit="1" customWidth="1"/>
    <col min="1546" max="1546" width="10.75" style="143" bestFit="1" customWidth="1"/>
    <col min="1547" max="1792" width="10" style="143"/>
    <col min="1793" max="1793" width="35.625" style="143" customWidth="1"/>
    <col min="1794" max="1795" width="10" style="143"/>
    <col min="1796" max="1796" width="7.375" style="143" bestFit="1" customWidth="1"/>
    <col min="1797" max="1797" width="10.75" style="143" bestFit="1" customWidth="1"/>
    <col min="1798" max="1798" width="10" style="143" bestFit="1" customWidth="1"/>
    <col min="1799" max="1799" width="10.75" style="143" bestFit="1" customWidth="1"/>
    <col min="1800" max="1800" width="8.25" style="143" bestFit="1" customWidth="1"/>
    <col min="1801" max="1801" width="9.625" style="143" bestFit="1" customWidth="1"/>
    <col min="1802" max="1802" width="10.75" style="143" bestFit="1" customWidth="1"/>
    <col min="1803" max="2048" width="11" style="143"/>
    <col min="2049" max="2049" width="35.625" style="143" customWidth="1"/>
    <col min="2050" max="2051" width="10" style="143"/>
    <col min="2052" max="2052" width="7.375" style="143" bestFit="1" customWidth="1"/>
    <col min="2053" max="2053" width="10.75" style="143" bestFit="1" customWidth="1"/>
    <col min="2054" max="2054" width="10" style="143" bestFit="1" customWidth="1"/>
    <col min="2055" max="2055" width="10.75" style="143" bestFit="1" customWidth="1"/>
    <col min="2056" max="2056" width="8.25" style="143" bestFit="1" customWidth="1"/>
    <col min="2057" max="2057" width="9.625" style="143" bestFit="1" customWidth="1"/>
    <col min="2058" max="2058" width="10.75" style="143" bestFit="1" customWidth="1"/>
    <col min="2059" max="2304" width="10" style="143"/>
    <col min="2305" max="2305" width="35.625" style="143" customWidth="1"/>
    <col min="2306" max="2307" width="10" style="143"/>
    <col min="2308" max="2308" width="7.375" style="143" bestFit="1" customWidth="1"/>
    <col min="2309" max="2309" width="10.75" style="143" bestFit="1" customWidth="1"/>
    <col min="2310" max="2310" width="10" style="143" bestFit="1" customWidth="1"/>
    <col min="2311" max="2311" width="10.75" style="143" bestFit="1" customWidth="1"/>
    <col min="2312" max="2312" width="8.25" style="143" bestFit="1" customWidth="1"/>
    <col min="2313" max="2313" width="9.625" style="143" bestFit="1" customWidth="1"/>
    <col min="2314" max="2314" width="10.75" style="143" bestFit="1" customWidth="1"/>
    <col min="2315" max="2560" width="10" style="143"/>
    <col min="2561" max="2561" width="35.625" style="143" customWidth="1"/>
    <col min="2562" max="2563" width="10" style="143"/>
    <col min="2564" max="2564" width="7.375" style="143" bestFit="1" customWidth="1"/>
    <col min="2565" max="2565" width="10.75" style="143" bestFit="1" customWidth="1"/>
    <col min="2566" max="2566" width="10" style="143" bestFit="1" customWidth="1"/>
    <col min="2567" max="2567" width="10.75" style="143" bestFit="1" customWidth="1"/>
    <col min="2568" max="2568" width="8.25" style="143" bestFit="1" customWidth="1"/>
    <col min="2569" max="2569" width="9.625" style="143" bestFit="1" customWidth="1"/>
    <col min="2570" max="2570" width="10.75" style="143" bestFit="1" customWidth="1"/>
    <col min="2571" max="2816" width="10" style="143"/>
    <col min="2817" max="2817" width="35.625" style="143" customWidth="1"/>
    <col min="2818" max="2819" width="10" style="143"/>
    <col min="2820" max="2820" width="7.375" style="143" bestFit="1" customWidth="1"/>
    <col min="2821" max="2821" width="10.75" style="143" bestFit="1" customWidth="1"/>
    <col min="2822" max="2822" width="10" style="143" bestFit="1" customWidth="1"/>
    <col min="2823" max="2823" width="10.75" style="143" bestFit="1" customWidth="1"/>
    <col min="2824" max="2824" width="8.25" style="143" bestFit="1" customWidth="1"/>
    <col min="2825" max="2825" width="9.625" style="143" bestFit="1" customWidth="1"/>
    <col min="2826" max="2826" width="10.75" style="143" bestFit="1" customWidth="1"/>
    <col min="2827" max="3072" width="11" style="143"/>
    <col min="3073" max="3073" width="35.625" style="143" customWidth="1"/>
    <col min="3074" max="3075" width="10" style="143"/>
    <col min="3076" max="3076" width="7.375" style="143" bestFit="1" customWidth="1"/>
    <col min="3077" max="3077" width="10.75" style="143" bestFit="1" customWidth="1"/>
    <col min="3078" max="3078" width="10" style="143" bestFit="1" customWidth="1"/>
    <col min="3079" max="3079" width="10.75" style="143" bestFit="1" customWidth="1"/>
    <col min="3080" max="3080" width="8.25" style="143" bestFit="1" customWidth="1"/>
    <col min="3081" max="3081" width="9.625" style="143" bestFit="1" customWidth="1"/>
    <col min="3082" max="3082" width="10.75" style="143" bestFit="1" customWidth="1"/>
    <col min="3083" max="3328" width="10" style="143"/>
    <col min="3329" max="3329" width="35.625" style="143" customWidth="1"/>
    <col min="3330" max="3331" width="10" style="143"/>
    <col min="3332" max="3332" width="7.375" style="143" bestFit="1" customWidth="1"/>
    <col min="3333" max="3333" width="10.75" style="143" bestFit="1" customWidth="1"/>
    <col min="3334" max="3334" width="10" style="143" bestFit="1" customWidth="1"/>
    <col min="3335" max="3335" width="10.75" style="143" bestFit="1" customWidth="1"/>
    <col min="3336" max="3336" width="8.25" style="143" bestFit="1" customWidth="1"/>
    <col min="3337" max="3337" width="9.625" style="143" bestFit="1" customWidth="1"/>
    <col min="3338" max="3338" width="10.75" style="143" bestFit="1" customWidth="1"/>
    <col min="3339" max="3584" width="10" style="143"/>
    <col min="3585" max="3585" width="35.625" style="143" customWidth="1"/>
    <col min="3586" max="3587" width="10" style="143"/>
    <col min="3588" max="3588" width="7.375" style="143" bestFit="1" customWidth="1"/>
    <col min="3589" max="3589" width="10.75" style="143" bestFit="1" customWidth="1"/>
    <col min="3590" max="3590" width="10" style="143" bestFit="1" customWidth="1"/>
    <col min="3591" max="3591" width="10.75" style="143" bestFit="1" customWidth="1"/>
    <col min="3592" max="3592" width="8.25" style="143" bestFit="1" customWidth="1"/>
    <col min="3593" max="3593" width="9.625" style="143" bestFit="1" customWidth="1"/>
    <col min="3594" max="3594" width="10.75" style="143" bestFit="1" customWidth="1"/>
    <col min="3595" max="3840" width="10" style="143"/>
    <col min="3841" max="3841" width="35.625" style="143" customWidth="1"/>
    <col min="3842" max="3843" width="10" style="143"/>
    <col min="3844" max="3844" width="7.375" style="143" bestFit="1" customWidth="1"/>
    <col min="3845" max="3845" width="10.75" style="143" bestFit="1" customWidth="1"/>
    <col min="3846" max="3846" width="10" style="143" bestFit="1" customWidth="1"/>
    <col min="3847" max="3847" width="10.75" style="143" bestFit="1" customWidth="1"/>
    <col min="3848" max="3848" width="8.25" style="143" bestFit="1" customWidth="1"/>
    <col min="3849" max="3849" width="9.625" style="143" bestFit="1" customWidth="1"/>
    <col min="3850" max="3850" width="10.75" style="143" bestFit="1" customWidth="1"/>
    <col min="3851" max="4096" width="11" style="143"/>
    <col min="4097" max="4097" width="35.625" style="143" customWidth="1"/>
    <col min="4098" max="4099" width="10" style="143"/>
    <col min="4100" max="4100" width="7.375" style="143" bestFit="1" customWidth="1"/>
    <col min="4101" max="4101" width="10.75" style="143" bestFit="1" customWidth="1"/>
    <col min="4102" max="4102" width="10" style="143" bestFit="1" customWidth="1"/>
    <col min="4103" max="4103" width="10.75" style="143" bestFit="1" customWidth="1"/>
    <col min="4104" max="4104" width="8.25" style="143" bestFit="1" customWidth="1"/>
    <col min="4105" max="4105" width="9.625" style="143" bestFit="1" customWidth="1"/>
    <col min="4106" max="4106" width="10.75" style="143" bestFit="1" customWidth="1"/>
    <col min="4107" max="4352" width="10" style="143"/>
    <col min="4353" max="4353" width="35.625" style="143" customWidth="1"/>
    <col min="4354" max="4355" width="10" style="143"/>
    <col min="4356" max="4356" width="7.375" style="143" bestFit="1" customWidth="1"/>
    <col min="4357" max="4357" width="10.75" style="143" bestFit="1" customWidth="1"/>
    <col min="4358" max="4358" width="10" style="143" bestFit="1" customWidth="1"/>
    <col min="4359" max="4359" width="10.75" style="143" bestFit="1" customWidth="1"/>
    <col min="4360" max="4360" width="8.25" style="143" bestFit="1" customWidth="1"/>
    <col min="4361" max="4361" width="9.625" style="143" bestFit="1" customWidth="1"/>
    <col min="4362" max="4362" width="10.75" style="143" bestFit="1" customWidth="1"/>
    <col min="4363" max="4608" width="10" style="143"/>
    <col min="4609" max="4609" width="35.625" style="143" customWidth="1"/>
    <col min="4610" max="4611" width="10" style="143"/>
    <col min="4612" max="4612" width="7.375" style="143" bestFit="1" customWidth="1"/>
    <col min="4613" max="4613" width="10.75" style="143" bestFit="1" customWidth="1"/>
    <col min="4614" max="4614" width="10" style="143" bestFit="1" customWidth="1"/>
    <col min="4615" max="4615" width="10.75" style="143" bestFit="1" customWidth="1"/>
    <col min="4616" max="4616" width="8.25" style="143" bestFit="1" customWidth="1"/>
    <col min="4617" max="4617" width="9.625" style="143" bestFit="1" customWidth="1"/>
    <col min="4618" max="4618" width="10.75" style="143" bestFit="1" customWidth="1"/>
    <col min="4619" max="4864" width="10" style="143"/>
    <col min="4865" max="4865" width="35.625" style="143" customWidth="1"/>
    <col min="4866" max="4867" width="10" style="143"/>
    <col min="4868" max="4868" width="7.375" style="143" bestFit="1" customWidth="1"/>
    <col min="4869" max="4869" width="10.75" style="143" bestFit="1" customWidth="1"/>
    <col min="4870" max="4870" width="10" style="143" bestFit="1" customWidth="1"/>
    <col min="4871" max="4871" width="10.75" style="143" bestFit="1" customWidth="1"/>
    <col min="4872" max="4872" width="8.25" style="143" bestFit="1" customWidth="1"/>
    <col min="4873" max="4873" width="9.625" style="143" bestFit="1" customWidth="1"/>
    <col min="4874" max="4874" width="10.75" style="143" bestFit="1" customWidth="1"/>
    <col min="4875" max="5120" width="11" style="143"/>
    <col min="5121" max="5121" width="35.625" style="143" customWidth="1"/>
    <col min="5122" max="5123" width="10" style="143"/>
    <col min="5124" max="5124" width="7.375" style="143" bestFit="1" customWidth="1"/>
    <col min="5125" max="5125" width="10.75" style="143" bestFit="1" customWidth="1"/>
    <col min="5126" max="5126" width="10" style="143" bestFit="1" customWidth="1"/>
    <col min="5127" max="5127" width="10.75" style="143" bestFit="1" customWidth="1"/>
    <col min="5128" max="5128" width="8.25" style="143" bestFit="1" customWidth="1"/>
    <col min="5129" max="5129" width="9.625" style="143" bestFit="1" customWidth="1"/>
    <col min="5130" max="5130" width="10.75" style="143" bestFit="1" customWidth="1"/>
    <col min="5131" max="5376" width="10" style="143"/>
    <col min="5377" max="5377" width="35.625" style="143" customWidth="1"/>
    <col min="5378" max="5379" width="10" style="143"/>
    <col min="5380" max="5380" width="7.375" style="143" bestFit="1" customWidth="1"/>
    <col min="5381" max="5381" width="10.75" style="143" bestFit="1" customWidth="1"/>
    <col min="5382" max="5382" width="10" style="143" bestFit="1" customWidth="1"/>
    <col min="5383" max="5383" width="10.75" style="143" bestFit="1" customWidth="1"/>
    <col min="5384" max="5384" width="8.25" style="143" bestFit="1" customWidth="1"/>
    <col min="5385" max="5385" width="9.625" style="143" bestFit="1" customWidth="1"/>
    <col min="5386" max="5386" width="10.75" style="143" bestFit="1" customWidth="1"/>
    <col min="5387" max="5632" width="10" style="143"/>
    <col min="5633" max="5633" width="35.625" style="143" customWidth="1"/>
    <col min="5634" max="5635" width="10" style="143"/>
    <col min="5636" max="5636" width="7.375" style="143" bestFit="1" customWidth="1"/>
    <col min="5637" max="5637" width="10.75" style="143" bestFit="1" customWidth="1"/>
    <col min="5638" max="5638" width="10" style="143" bestFit="1" customWidth="1"/>
    <col min="5639" max="5639" width="10.75" style="143" bestFit="1" customWidth="1"/>
    <col min="5640" max="5640" width="8.25" style="143" bestFit="1" customWidth="1"/>
    <col min="5641" max="5641" width="9.625" style="143" bestFit="1" customWidth="1"/>
    <col min="5642" max="5642" width="10.75" style="143" bestFit="1" customWidth="1"/>
    <col min="5643" max="5888" width="10" style="143"/>
    <col min="5889" max="5889" width="35.625" style="143" customWidth="1"/>
    <col min="5890" max="5891" width="10" style="143"/>
    <col min="5892" max="5892" width="7.375" style="143" bestFit="1" customWidth="1"/>
    <col min="5893" max="5893" width="10.75" style="143" bestFit="1" customWidth="1"/>
    <col min="5894" max="5894" width="10" style="143" bestFit="1" customWidth="1"/>
    <col min="5895" max="5895" width="10.75" style="143" bestFit="1" customWidth="1"/>
    <col min="5896" max="5896" width="8.25" style="143" bestFit="1" customWidth="1"/>
    <col min="5897" max="5897" width="9.625" style="143" bestFit="1" customWidth="1"/>
    <col min="5898" max="5898" width="10.75" style="143" bestFit="1" customWidth="1"/>
    <col min="5899" max="6144" width="11" style="143"/>
    <col min="6145" max="6145" width="35.625" style="143" customWidth="1"/>
    <col min="6146" max="6147" width="10" style="143"/>
    <col min="6148" max="6148" width="7.375" style="143" bestFit="1" customWidth="1"/>
    <col min="6149" max="6149" width="10.75" style="143" bestFit="1" customWidth="1"/>
    <col min="6150" max="6150" width="10" style="143" bestFit="1" customWidth="1"/>
    <col min="6151" max="6151" width="10.75" style="143" bestFit="1" customWidth="1"/>
    <col min="6152" max="6152" width="8.25" style="143" bestFit="1" customWidth="1"/>
    <col min="6153" max="6153" width="9.625" style="143" bestFit="1" customWidth="1"/>
    <col min="6154" max="6154" width="10.75" style="143" bestFit="1" customWidth="1"/>
    <col min="6155" max="6400" width="10" style="143"/>
    <col min="6401" max="6401" width="35.625" style="143" customWidth="1"/>
    <col min="6402" max="6403" width="10" style="143"/>
    <col min="6404" max="6404" width="7.375" style="143" bestFit="1" customWidth="1"/>
    <col min="6405" max="6405" width="10.75" style="143" bestFit="1" customWidth="1"/>
    <col min="6406" max="6406" width="10" style="143" bestFit="1" customWidth="1"/>
    <col min="6407" max="6407" width="10.75" style="143" bestFit="1" customWidth="1"/>
    <col min="6408" max="6408" width="8.25" style="143" bestFit="1" customWidth="1"/>
    <col min="6409" max="6409" width="9.625" style="143" bestFit="1" customWidth="1"/>
    <col min="6410" max="6410" width="10.75" style="143" bestFit="1" customWidth="1"/>
    <col min="6411" max="6656" width="10" style="143"/>
    <col min="6657" max="6657" width="35.625" style="143" customWidth="1"/>
    <col min="6658" max="6659" width="10" style="143"/>
    <col min="6660" max="6660" width="7.375" style="143" bestFit="1" customWidth="1"/>
    <col min="6661" max="6661" width="10.75" style="143" bestFit="1" customWidth="1"/>
    <col min="6662" max="6662" width="10" style="143" bestFit="1" customWidth="1"/>
    <col min="6663" max="6663" width="10.75" style="143" bestFit="1" customWidth="1"/>
    <col min="6664" max="6664" width="8.25" style="143" bestFit="1" customWidth="1"/>
    <col min="6665" max="6665" width="9.625" style="143" bestFit="1" customWidth="1"/>
    <col min="6666" max="6666" width="10.75" style="143" bestFit="1" customWidth="1"/>
    <col min="6667" max="6912" width="10" style="143"/>
    <col min="6913" max="6913" width="35.625" style="143" customWidth="1"/>
    <col min="6914" max="6915" width="10" style="143"/>
    <col min="6916" max="6916" width="7.375" style="143" bestFit="1" customWidth="1"/>
    <col min="6917" max="6917" width="10.75" style="143" bestFit="1" customWidth="1"/>
    <col min="6918" max="6918" width="10" style="143" bestFit="1" customWidth="1"/>
    <col min="6919" max="6919" width="10.75" style="143" bestFit="1" customWidth="1"/>
    <col min="6920" max="6920" width="8.25" style="143" bestFit="1" customWidth="1"/>
    <col min="6921" max="6921" width="9.625" style="143" bestFit="1" customWidth="1"/>
    <col min="6922" max="6922" width="10.75" style="143" bestFit="1" customWidth="1"/>
    <col min="6923" max="7168" width="11" style="143"/>
    <col min="7169" max="7169" width="35.625" style="143" customWidth="1"/>
    <col min="7170" max="7171" width="10" style="143"/>
    <col min="7172" max="7172" width="7.375" style="143" bestFit="1" customWidth="1"/>
    <col min="7173" max="7173" width="10.75" style="143" bestFit="1" customWidth="1"/>
    <col min="7174" max="7174" width="10" style="143" bestFit="1" customWidth="1"/>
    <col min="7175" max="7175" width="10.75" style="143" bestFit="1" customWidth="1"/>
    <col min="7176" max="7176" width="8.25" style="143" bestFit="1" customWidth="1"/>
    <col min="7177" max="7177" width="9.625" style="143" bestFit="1" customWidth="1"/>
    <col min="7178" max="7178" width="10.75" style="143" bestFit="1" customWidth="1"/>
    <col min="7179" max="7424" width="10" style="143"/>
    <col min="7425" max="7425" width="35.625" style="143" customWidth="1"/>
    <col min="7426" max="7427" width="10" style="143"/>
    <col min="7428" max="7428" width="7.375" style="143" bestFit="1" customWidth="1"/>
    <col min="7429" max="7429" width="10.75" style="143" bestFit="1" customWidth="1"/>
    <col min="7430" max="7430" width="10" style="143" bestFit="1" customWidth="1"/>
    <col min="7431" max="7431" width="10.75" style="143" bestFit="1" customWidth="1"/>
    <col min="7432" max="7432" width="8.25" style="143" bestFit="1" customWidth="1"/>
    <col min="7433" max="7433" width="9.625" style="143" bestFit="1" customWidth="1"/>
    <col min="7434" max="7434" width="10.75" style="143" bestFit="1" customWidth="1"/>
    <col min="7435" max="7680" width="10" style="143"/>
    <col min="7681" max="7681" width="35.625" style="143" customWidth="1"/>
    <col min="7682" max="7683" width="10" style="143"/>
    <col min="7684" max="7684" width="7.375" style="143" bestFit="1" customWidth="1"/>
    <col min="7685" max="7685" width="10.75" style="143" bestFit="1" customWidth="1"/>
    <col min="7686" max="7686" width="10" style="143" bestFit="1" customWidth="1"/>
    <col min="7687" max="7687" width="10.75" style="143" bestFit="1" customWidth="1"/>
    <col min="7688" max="7688" width="8.25" style="143" bestFit="1" customWidth="1"/>
    <col min="7689" max="7689" width="9.625" style="143" bestFit="1" customWidth="1"/>
    <col min="7690" max="7690" width="10.75" style="143" bestFit="1" customWidth="1"/>
    <col min="7691" max="7936" width="10" style="143"/>
    <col min="7937" max="7937" width="35.625" style="143" customWidth="1"/>
    <col min="7938" max="7939" width="10" style="143"/>
    <col min="7940" max="7940" width="7.375" style="143" bestFit="1" customWidth="1"/>
    <col min="7941" max="7941" width="10.75" style="143" bestFit="1" customWidth="1"/>
    <col min="7942" max="7942" width="10" style="143" bestFit="1" customWidth="1"/>
    <col min="7943" max="7943" width="10.75" style="143" bestFit="1" customWidth="1"/>
    <col min="7944" max="7944" width="8.25" style="143" bestFit="1" customWidth="1"/>
    <col min="7945" max="7945" width="9.625" style="143" bestFit="1" customWidth="1"/>
    <col min="7946" max="7946" width="10.75" style="143" bestFit="1" customWidth="1"/>
    <col min="7947" max="8192" width="11" style="143"/>
    <col min="8193" max="8193" width="35.625" style="143" customWidth="1"/>
    <col min="8194" max="8195" width="10" style="143"/>
    <col min="8196" max="8196" width="7.375" style="143" bestFit="1" customWidth="1"/>
    <col min="8197" max="8197" width="10.75" style="143" bestFit="1" customWidth="1"/>
    <col min="8198" max="8198" width="10" style="143" bestFit="1" customWidth="1"/>
    <col min="8199" max="8199" width="10.75" style="143" bestFit="1" customWidth="1"/>
    <col min="8200" max="8200" width="8.25" style="143" bestFit="1" customWidth="1"/>
    <col min="8201" max="8201" width="9.625" style="143" bestFit="1" customWidth="1"/>
    <col min="8202" max="8202" width="10.75" style="143" bestFit="1" customWidth="1"/>
    <col min="8203" max="8448" width="10" style="143"/>
    <col min="8449" max="8449" width="35.625" style="143" customWidth="1"/>
    <col min="8450" max="8451" width="10" style="143"/>
    <col min="8452" max="8452" width="7.375" style="143" bestFit="1" customWidth="1"/>
    <col min="8453" max="8453" width="10.75" style="143" bestFit="1" customWidth="1"/>
    <col min="8454" max="8454" width="10" style="143" bestFit="1" customWidth="1"/>
    <col min="8455" max="8455" width="10.75" style="143" bestFit="1" customWidth="1"/>
    <col min="8456" max="8456" width="8.25" style="143" bestFit="1" customWidth="1"/>
    <col min="8457" max="8457" width="9.625" style="143" bestFit="1" customWidth="1"/>
    <col min="8458" max="8458" width="10.75" style="143" bestFit="1" customWidth="1"/>
    <col min="8459" max="8704" width="10" style="143"/>
    <col min="8705" max="8705" width="35.625" style="143" customWidth="1"/>
    <col min="8706" max="8707" width="10" style="143"/>
    <col min="8708" max="8708" width="7.375" style="143" bestFit="1" customWidth="1"/>
    <col min="8709" max="8709" width="10.75" style="143" bestFit="1" customWidth="1"/>
    <col min="8710" max="8710" width="10" style="143" bestFit="1" customWidth="1"/>
    <col min="8711" max="8711" width="10.75" style="143" bestFit="1" customWidth="1"/>
    <col min="8712" max="8712" width="8.25" style="143" bestFit="1" customWidth="1"/>
    <col min="8713" max="8713" width="9.625" style="143" bestFit="1" customWidth="1"/>
    <col min="8714" max="8714" width="10.75" style="143" bestFit="1" customWidth="1"/>
    <col min="8715" max="8960" width="10" style="143"/>
    <col min="8961" max="8961" width="35.625" style="143" customWidth="1"/>
    <col min="8962" max="8963" width="10" style="143"/>
    <col min="8964" max="8964" width="7.375" style="143" bestFit="1" customWidth="1"/>
    <col min="8965" max="8965" width="10.75" style="143" bestFit="1" customWidth="1"/>
    <col min="8966" max="8966" width="10" style="143" bestFit="1" customWidth="1"/>
    <col min="8967" max="8967" width="10.75" style="143" bestFit="1" customWidth="1"/>
    <col min="8968" max="8968" width="8.25" style="143" bestFit="1" customWidth="1"/>
    <col min="8969" max="8969" width="9.625" style="143" bestFit="1" customWidth="1"/>
    <col min="8970" max="8970" width="10.75" style="143" bestFit="1" customWidth="1"/>
    <col min="8971" max="9216" width="11" style="143"/>
    <col min="9217" max="9217" width="35.625" style="143" customWidth="1"/>
    <col min="9218" max="9219" width="10" style="143"/>
    <col min="9220" max="9220" width="7.375" style="143" bestFit="1" customWidth="1"/>
    <col min="9221" max="9221" width="10.75" style="143" bestFit="1" customWidth="1"/>
    <col min="9222" max="9222" width="10" style="143" bestFit="1" customWidth="1"/>
    <col min="9223" max="9223" width="10.75" style="143" bestFit="1" customWidth="1"/>
    <col min="9224" max="9224" width="8.25" style="143" bestFit="1" customWidth="1"/>
    <col min="9225" max="9225" width="9.625" style="143" bestFit="1" customWidth="1"/>
    <col min="9226" max="9226" width="10.75" style="143" bestFit="1" customWidth="1"/>
    <col min="9227" max="9472" width="10" style="143"/>
    <col min="9473" max="9473" width="35.625" style="143" customWidth="1"/>
    <col min="9474" max="9475" width="10" style="143"/>
    <col min="9476" max="9476" width="7.375" style="143" bestFit="1" customWidth="1"/>
    <col min="9477" max="9477" width="10.75" style="143" bestFit="1" customWidth="1"/>
    <col min="9478" max="9478" width="10" style="143" bestFit="1" customWidth="1"/>
    <col min="9479" max="9479" width="10.75" style="143" bestFit="1" customWidth="1"/>
    <col min="9480" max="9480" width="8.25" style="143" bestFit="1" customWidth="1"/>
    <col min="9481" max="9481" width="9.625" style="143" bestFit="1" customWidth="1"/>
    <col min="9482" max="9482" width="10.75" style="143" bestFit="1" customWidth="1"/>
    <col min="9483" max="9728" width="10" style="143"/>
    <col min="9729" max="9729" width="35.625" style="143" customWidth="1"/>
    <col min="9730" max="9731" width="10" style="143"/>
    <col min="9732" max="9732" width="7.375" style="143" bestFit="1" customWidth="1"/>
    <col min="9733" max="9733" width="10.75" style="143" bestFit="1" customWidth="1"/>
    <col min="9734" max="9734" width="10" style="143" bestFit="1" customWidth="1"/>
    <col min="9735" max="9735" width="10.75" style="143" bestFit="1" customWidth="1"/>
    <col min="9736" max="9736" width="8.25" style="143" bestFit="1" customWidth="1"/>
    <col min="9737" max="9737" width="9.625" style="143" bestFit="1" customWidth="1"/>
    <col min="9738" max="9738" width="10.75" style="143" bestFit="1" customWidth="1"/>
    <col min="9739" max="9984" width="10" style="143"/>
    <col min="9985" max="9985" width="35.625" style="143" customWidth="1"/>
    <col min="9986" max="9987" width="10" style="143"/>
    <col min="9988" max="9988" width="7.375" style="143" bestFit="1" customWidth="1"/>
    <col min="9989" max="9989" width="10.75" style="143" bestFit="1" customWidth="1"/>
    <col min="9990" max="9990" width="10" style="143" bestFit="1" customWidth="1"/>
    <col min="9991" max="9991" width="10.75" style="143" bestFit="1" customWidth="1"/>
    <col min="9992" max="9992" width="8.25" style="143" bestFit="1" customWidth="1"/>
    <col min="9993" max="9993" width="9.625" style="143" bestFit="1" customWidth="1"/>
    <col min="9994" max="9994" width="10.75" style="143" bestFit="1" customWidth="1"/>
    <col min="9995" max="10240" width="11" style="143"/>
    <col min="10241" max="10241" width="35.625" style="143" customWidth="1"/>
    <col min="10242" max="10243" width="10" style="143"/>
    <col min="10244" max="10244" width="7.375" style="143" bestFit="1" customWidth="1"/>
    <col min="10245" max="10245" width="10.75" style="143" bestFit="1" customWidth="1"/>
    <col min="10246" max="10246" width="10" style="143" bestFit="1" customWidth="1"/>
    <col min="10247" max="10247" width="10.75" style="143" bestFit="1" customWidth="1"/>
    <col min="10248" max="10248" width="8.25" style="143" bestFit="1" customWidth="1"/>
    <col min="10249" max="10249" width="9.625" style="143" bestFit="1" customWidth="1"/>
    <col min="10250" max="10250" width="10.75" style="143" bestFit="1" customWidth="1"/>
    <col min="10251" max="10496" width="10" style="143"/>
    <col min="10497" max="10497" width="35.625" style="143" customWidth="1"/>
    <col min="10498" max="10499" width="10" style="143"/>
    <col min="10500" max="10500" width="7.375" style="143" bestFit="1" customWidth="1"/>
    <col min="10501" max="10501" width="10.75" style="143" bestFit="1" customWidth="1"/>
    <col min="10502" max="10502" width="10" style="143" bestFit="1" customWidth="1"/>
    <col min="10503" max="10503" width="10.75" style="143" bestFit="1" customWidth="1"/>
    <col min="10504" max="10504" width="8.25" style="143" bestFit="1" customWidth="1"/>
    <col min="10505" max="10505" width="9.625" style="143" bestFit="1" customWidth="1"/>
    <col min="10506" max="10506" width="10.75" style="143" bestFit="1" customWidth="1"/>
    <col min="10507" max="10752" width="10" style="143"/>
    <col min="10753" max="10753" width="35.625" style="143" customWidth="1"/>
    <col min="10754" max="10755" width="10" style="143"/>
    <col min="10756" max="10756" width="7.375" style="143" bestFit="1" customWidth="1"/>
    <col min="10757" max="10757" width="10.75" style="143" bestFit="1" customWidth="1"/>
    <col min="10758" max="10758" width="10" style="143" bestFit="1" customWidth="1"/>
    <col min="10759" max="10759" width="10.75" style="143" bestFit="1" customWidth="1"/>
    <col min="10760" max="10760" width="8.25" style="143" bestFit="1" customWidth="1"/>
    <col min="10761" max="10761" width="9.625" style="143" bestFit="1" customWidth="1"/>
    <col min="10762" max="10762" width="10.75" style="143" bestFit="1" customWidth="1"/>
    <col min="10763" max="11008" width="10" style="143"/>
    <col min="11009" max="11009" width="35.625" style="143" customWidth="1"/>
    <col min="11010" max="11011" width="10" style="143"/>
    <col min="11012" max="11012" width="7.375" style="143" bestFit="1" customWidth="1"/>
    <col min="11013" max="11013" width="10.75" style="143" bestFit="1" customWidth="1"/>
    <col min="11014" max="11014" width="10" style="143" bestFit="1" customWidth="1"/>
    <col min="11015" max="11015" width="10.75" style="143" bestFit="1" customWidth="1"/>
    <col min="11016" max="11016" width="8.25" style="143" bestFit="1" customWidth="1"/>
    <col min="11017" max="11017" width="9.625" style="143" bestFit="1" customWidth="1"/>
    <col min="11018" max="11018" width="10.75" style="143" bestFit="1" customWidth="1"/>
    <col min="11019" max="11264" width="11" style="143"/>
    <col min="11265" max="11265" width="35.625" style="143" customWidth="1"/>
    <col min="11266" max="11267" width="10" style="143"/>
    <col min="11268" max="11268" width="7.375" style="143" bestFit="1" customWidth="1"/>
    <col min="11269" max="11269" width="10.75" style="143" bestFit="1" customWidth="1"/>
    <col min="11270" max="11270" width="10" style="143" bestFit="1" customWidth="1"/>
    <col min="11271" max="11271" width="10.75" style="143" bestFit="1" customWidth="1"/>
    <col min="11272" max="11272" width="8.25" style="143" bestFit="1" customWidth="1"/>
    <col min="11273" max="11273" width="9.625" style="143" bestFit="1" customWidth="1"/>
    <col min="11274" max="11274" width="10.75" style="143" bestFit="1" customWidth="1"/>
    <col min="11275" max="11520" width="10" style="143"/>
    <col min="11521" max="11521" width="35.625" style="143" customWidth="1"/>
    <col min="11522" max="11523" width="10" style="143"/>
    <col min="11524" max="11524" width="7.375" style="143" bestFit="1" customWidth="1"/>
    <col min="11525" max="11525" width="10.75" style="143" bestFit="1" customWidth="1"/>
    <col min="11526" max="11526" width="10" style="143" bestFit="1" customWidth="1"/>
    <col min="11527" max="11527" width="10.75" style="143" bestFit="1" customWidth="1"/>
    <col min="11528" max="11528" width="8.25" style="143" bestFit="1" customWidth="1"/>
    <col min="11529" max="11529" width="9.625" style="143" bestFit="1" customWidth="1"/>
    <col min="11530" max="11530" width="10.75" style="143" bestFit="1" customWidth="1"/>
    <col min="11531" max="11776" width="10" style="143"/>
    <col min="11777" max="11777" width="35.625" style="143" customWidth="1"/>
    <col min="11778" max="11779" width="10" style="143"/>
    <col min="11780" max="11780" width="7.375" style="143" bestFit="1" customWidth="1"/>
    <col min="11781" max="11781" width="10.75" style="143" bestFit="1" customWidth="1"/>
    <col min="11782" max="11782" width="10" style="143" bestFit="1" customWidth="1"/>
    <col min="11783" max="11783" width="10.75" style="143" bestFit="1" customWidth="1"/>
    <col min="11784" max="11784" width="8.25" style="143" bestFit="1" customWidth="1"/>
    <col min="11785" max="11785" width="9.625" style="143" bestFit="1" customWidth="1"/>
    <col min="11786" max="11786" width="10.75" style="143" bestFit="1" customWidth="1"/>
    <col min="11787" max="12032" width="10" style="143"/>
    <col min="12033" max="12033" width="35.625" style="143" customWidth="1"/>
    <col min="12034" max="12035" width="10" style="143"/>
    <col min="12036" max="12036" width="7.375" style="143" bestFit="1" customWidth="1"/>
    <col min="12037" max="12037" width="10.75" style="143" bestFit="1" customWidth="1"/>
    <col min="12038" max="12038" width="10" style="143" bestFit="1" customWidth="1"/>
    <col min="12039" max="12039" width="10.75" style="143" bestFit="1" customWidth="1"/>
    <col min="12040" max="12040" width="8.25" style="143" bestFit="1" customWidth="1"/>
    <col min="12041" max="12041" width="9.625" style="143" bestFit="1" customWidth="1"/>
    <col min="12042" max="12042" width="10.75" style="143" bestFit="1" customWidth="1"/>
    <col min="12043" max="12288" width="11" style="143"/>
    <col min="12289" max="12289" width="35.625" style="143" customWidth="1"/>
    <col min="12290" max="12291" width="10" style="143"/>
    <col min="12292" max="12292" width="7.375" style="143" bestFit="1" customWidth="1"/>
    <col min="12293" max="12293" width="10.75" style="143" bestFit="1" customWidth="1"/>
    <col min="12294" max="12294" width="10" style="143" bestFit="1" customWidth="1"/>
    <col min="12295" max="12295" width="10.75" style="143" bestFit="1" customWidth="1"/>
    <col min="12296" max="12296" width="8.25" style="143" bestFit="1" customWidth="1"/>
    <col min="12297" max="12297" width="9.625" style="143" bestFit="1" customWidth="1"/>
    <col min="12298" max="12298" width="10.75" style="143" bestFit="1" customWidth="1"/>
    <col min="12299" max="12544" width="10" style="143"/>
    <col min="12545" max="12545" width="35.625" style="143" customWidth="1"/>
    <col min="12546" max="12547" width="10" style="143"/>
    <col min="12548" max="12548" width="7.375" style="143" bestFit="1" customWidth="1"/>
    <col min="12549" max="12549" width="10.75" style="143" bestFit="1" customWidth="1"/>
    <col min="12550" max="12550" width="10" style="143" bestFit="1" customWidth="1"/>
    <col min="12551" max="12551" width="10.75" style="143" bestFit="1" customWidth="1"/>
    <col min="12552" max="12552" width="8.25" style="143" bestFit="1" customWidth="1"/>
    <col min="12553" max="12553" width="9.625" style="143" bestFit="1" customWidth="1"/>
    <col min="12554" max="12554" width="10.75" style="143" bestFit="1" customWidth="1"/>
    <col min="12555" max="12800" width="10" style="143"/>
    <col min="12801" max="12801" width="35.625" style="143" customWidth="1"/>
    <col min="12802" max="12803" width="10" style="143"/>
    <col min="12804" max="12804" width="7.375" style="143" bestFit="1" customWidth="1"/>
    <col min="12805" max="12805" width="10.75" style="143" bestFit="1" customWidth="1"/>
    <col min="12806" max="12806" width="10" style="143" bestFit="1" customWidth="1"/>
    <col min="12807" max="12807" width="10.75" style="143" bestFit="1" customWidth="1"/>
    <col min="12808" max="12808" width="8.25" style="143" bestFit="1" customWidth="1"/>
    <col min="12809" max="12809" width="9.625" style="143" bestFit="1" customWidth="1"/>
    <col min="12810" max="12810" width="10.75" style="143" bestFit="1" customWidth="1"/>
    <col min="12811" max="13056" width="10" style="143"/>
    <col min="13057" max="13057" width="35.625" style="143" customWidth="1"/>
    <col min="13058" max="13059" width="10" style="143"/>
    <col min="13060" max="13060" width="7.375" style="143" bestFit="1" customWidth="1"/>
    <col min="13061" max="13061" width="10.75" style="143" bestFit="1" customWidth="1"/>
    <col min="13062" max="13062" width="10" style="143" bestFit="1" customWidth="1"/>
    <col min="13063" max="13063" width="10.75" style="143" bestFit="1" customWidth="1"/>
    <col min="13064" max="13064" width="8.25" style="143" bestFit="1" customWidth="1"/>
    <col min="13065" max="13065" width="9.625" style="143" bestFit="1" customWidth="1"/>
    <col min="13066" max="13066" width="10.75" style="143" bestFit="1" customWidth="1"/>
    <col min="13067" max="13312" width="11" style="143"/>
    <col min="13313" max="13313" width="35.625" style="143" customWidth="1"/>
    <col min="13314" max="13315" width="10" style="143"/>
    <col min="13316" max="13316" width="7.375" style="143" bestFit="1" customWidth="1"/>
    <col min="13317" max="13317" width="10.75" style="143" bestFit="1" customWidth="1"/>
    <col min="13318" max="13318" width="10" style="143" bestFit="1" customWidth="1"/>
    <col min="13319" max="13319" width="10.75" style="143" bestFit="1" customWidth="1"/>
    <col min="13320" max="13320" width="8.25" style="143" bestFit="1" customWidth="1"/>
    <col min="13321" max="13321" width="9.625" style="143" bestFit="1" customWidth="1"/>
    <col min="13322" max="13322" width="10.75" style="143" bestFit="1" customWidth="1"/>
    <col min="13323" max="13568" width="10" style="143"/>
    <col min="13569" max="13569" width="35.625" style="143" customWidth="1"/>
    <col min="13570" max="13571" width="10" style="143"/>
    <col min="13572" max="13572" width="7.375" style="143" bestFit="1" customWidth="1"/>
    <col min="13573" max="13573" width="10.75" style="143" bestFit="1" customWidth="1"/>
    <col min="13574" max="13574" width="10" style="143" bestFit="1" customWidth="1"/>
    <col min="13575" max="13575" width="10.75" style="143" bestFit="1" customWidth="1"/>
    <col min="13576" max="13576" width="8.25" style="143" bestFit="1" customWidth="1"/>
    <col min="13577" max="13577" width="9.625" style="143" bestFit="1" customWidth="1"/>
    <col min="13578" max="13578" width="10.75" style="143" bestFit="1" customWidth="1"/>
    <col min="13579" max="13824" width="10" style="143"/>
    <col min="13825" max="13825" width="35.625" style="143" customWidth="1"/>
    <col min="13826" max="13827" width="10" style="143"/>
    <col min="13828" max="13828" width="7.375" style="143" bestFit="1" customWidth="1"/>
    <col min="13829" max="13829" width="10.75" style="143" bestFit="1" customWidth="1"/>
    <col min="13830" max="13830" width="10" style="143" bestFit="1" customWidth="1"/>
    <col min="13831" max="13831" width="10.75" style="143" bestFit="1" customWidth="1"/>
    <col min="13832" max="13832" width="8.25" style="143" bestFit="1" customWidth="1"/>
    <col min="13833" max="13833" width="9.625" style="143" bestFit="1" customWidth="1"/>
    <col min="13834" max="13834" width="10.75" style="143" bestFit="1" customWidth="1"/>
    <col min="13835" max="14080" width="10" style="143"/>
    <col min="14081" max="14081" width="35.625" style="143" customWidth="1"/>
    <col min="14082" max="14083" width="10" style="143"/>
    <col min="14084" max="14084" width="7.375" style="143" bestFit="1" customWidth="1"/>
    <col min="14085" max="14085" width="10.75" style="143" bestFit="1" customWidth="1"/>
    <col min="14086" max="14086" width="10" style="143" bestFit="1" customWidth="1"/>
    <col min="14087" max="14087" width="10.75" style="143" bestFit="1" customWidth="1"/>
    <col min="14088" max="14088" width="8.25" style="143" bestFit="1" customWidth="1"/>
    <col min="14089" max="14089" width="9.625" style="143" bestFit="1" customWidth="1"/>
    <col min="14090" max="14090" width="10.75" style="143" bestFit="1" customWidth="1"/>
    <col min="14091" max="14336" width="11" style="143"/>
    <col min="14337" max="14337" width="35.625" style="143" customWidth="1"/>
    <col min="14338" max="14339" width="10" style="143"/>
    <col min="14340" max="14340" width="7.375" style="143" bestFit="1" customWidth="1"/>
    <col min="14341" max="14341" width="10.75" style="143" bestFit="1" customWidth="1"/>
    <col min="14342" max="14342" width="10" style="143" bestFit="1" customWidth="1"/>
    <col min="14343" max="14343" width="10.75" style="143" bestFit="1" customWidth="1"/>
    <col min="14344" max="14344" width="8.25" style="143" bestFit="1" customWidth="1"/>
    <col min="14345" max="14345" width="9.625" style="143" bestFit="1" customWidth="1"/>
    <col min="14346" max="14346" width="10.75" style="143" bestFit="1" customWidth="1"/>
    <col min="14347" max="14592" width="10" style="143"/>
    <col min="14593" max="14593" width="35.625" style="143" customWidth="1"/>
    <col min="14594" max="14595" width="10" style="143"/>
    <col min="14596" max="14596" width="7.375" style="143" bestFit="1" customWidth="1"/>
    <col min="14597" max="14597" width="10.75" style="143" bestFit="1" customWidth="1"/>
    <col min="14598" max="14598" width="10" style="143" bestFit="1" customWidth="1"/>
    <col min="14599" max="14599" width="10.75" style="143" bestFit="1" customWidth="1"/>
    <col min="14600" max="14600" width="8.25" style="143" bestFit="1" customWidth="1"/>
    <col min="14601" max="14601" width="9.625" style="143" bestFit="1" customWidth="1"/>
    <col min="14602" max="14602" width="10.75" style="143" bestFit="1" customWidth="1"/>
    <col min="14603" max="14848" width="10" style="143"/>
    <col min="14849" max="14849" width="35.625" style="143" customWidth="1"/>
    <col min="14850" max="14851" width="10" style="143"/>
    <col min="14852" max="14852" width="7.375" style="143" bestFit="1" customWidth="1"/>
    <col min="14853" max="14853" width="10.75" style="143" bestFit="1" customWidth="1"/>
    <col min="14854" max="14854" width="10" style="143" bestFit="1" customWidth="1"/>
    <col min="14855" max="14855" width="10.75" style="143" bestFit="1" customWidth="1"/>
    <col min="14856" max="14856" width="8.25" style="143" bestFit="1" customWidth="1"/>
    <col min="14857" max="14857" width="9.625" style="143" bestFit="1" customWidth="1"/>
    <col min="14858" max="14858" width="10.75" style="143" bestFit="1" customWidth="1"/>
    <col min="14859" max="15104" width="10" style="143"/>
    <col min="15105" max="15105" width="35.625" style="143" customWidth="1"/>
    <col min="15106" max="15107" width="10" style="143"/>
    <col min="15108" max="15108" width="7.375" style="143" bestFit="1" customWidth="1"/>
    <col min="15109" max="15109" width="10.75" style="143" bestFit="1" customWidth="1"/>
    <col min="15110" max="15110" width="10" style="143" bestFit="1" customWidth="1"/>
    <col min="15111" max="15111" width="10.75" style="143" bestFit="1" customWidth="1"/>
    <col min="15112" max="15112" width="8.25" style="143" bestFit="1" customWidth="1"/>
    <col min="15113" max="15113" width="9.625" style="143" bestFit="1" customWidth="1"/>
    <col min="15114" max="15114" width="10.75" style="143" bestFit="1" customWidth="1"/>
    <col min="15115" max="15360" width="11" style="143"/>
    <col min="15361" max="15361" width="35.625" style="143" customWidth="1"/>
    <col min="15362" max="15363" width="10" style="143"/>
    <col min="15364" max="15364" width="7.375" style="143" bestFit="1" customWidth="1"/>
    <col min="15365" max="15365" width="10.75" style="143" bestFit="1" customWidth="1"/>
    <col min="15366" max="15366" width="10" style="143" bestFit="1" customWidth="1"/>
    <col min="15367" max="15367" width="10.75" style="143" bestFit="1" customWidth="1"/>
    <col min="15368" max="15368" width="8.25" style="143" bestFit="1" customWidth="1"/>
    <col min="15369" max="15369" width="9.625" style="143" bestFit="1" customWidth="1"/>
    <col min="15370" max="15370" width="10.75" style="143" bestFit="1" customWidth="1"/>
    <col min="15371" max="15616" width="10" style="143"/>
    <col min="15617" max="15617" width="35.625" style="143" customWidth="1"/>
    <col min="15618" max="15619" width="10" style="143"/>
    <col min="15620" max="15620" width="7.375" style="143" bestFit="1" customWidth="1"/>
    <col min="15621" max="15621" width="10.75" style="143" bestFit="1" customWidth="1"/>
    <col min="15622" max="15622" width="10" style="143" bestFit="1" customWidth="1"/>
    <col min="15623" max="15623" width="10.75" style="143" bestFit="1" customWidth="1"/>
    <col min="15624" max="15624" width="8.25" style="143" bestFit="1" customWidth="1"/>
    <col min="15625" max="15625" width="9.625" style="143" bestFit="1" customWidth="1"/>
    <col min="15626" max="15626" width="10.75" style="143" bestFit="1" customWidth="1"/>
    <col min="15627" max="15872" width="10" style="143"/>
    <col min="15873" max="15873" width="35.625" style="143" customWidth="1"/>
    <col min="15874" max="15875" width="10" style="143"/>
    <col min="15876" max="15876" width="7.375" style="143" bestFit="1" customWidth="1"/>
    <col min="15877" max="15877" width="10.75" style="143" bestFit="1" customWidth="1"/>
    <col min="15878" max="15878" width="10" style="143" bestFit="1" customWidth="1"/>
    <col min="15879" max="15879" width="10.75" style="143" bestFit="1" customWidth="1"/>
    <col min="15880" max="15880" width="8.25" style="143" bestFit="1" customWidth="1"/>
    <col min="15881" max="15881" width="9.625" style="143" bestFit="1" customWidth="1"/>
    <col min="15882" max="15882" width="10.75" style="143" bestFit="1" customWidth="1"/>
    <col min="15883" max="16128" width="10" style="143"/>
    <col min="16129" max="16129" width="35.625" style="143" customWidth="1"/>
    <col min="16130" max="16131" width="10" style="143"/>
    <col min="16132" max="16132" width="7.375" style="143" bestFit="1" customWidth="1"/>
    <col min="16133" max="16133" width="10.75" style="143" bestFit="1" customWidth="1"/>
    <col min="16134" max="16134" width="10" style="143" bestFit="1" customWidth="1"/>
    <col min="16135" max="16135" width="10.75" style="143" bestFit="1" customWidth="1"/>
    <col min="16136" max="16136" width="8.25" style="143" bestFit="1" customWidth="1"/>
    <col min="16137" max="16137" width="9.625" style="143" bestFit="1" customWidth="1"/>
    <col min="16138" max="16138" width="10.75" style="143" bestFit="1" customWidth="1"/>
    <col min="16139" max="16384" width="11" style="143"/>
  </cols>
  <sheetData>
    <row r="1" spans="1:13" ht="23.25" x14ac:dyDescent="0.3">
      <c r="A1" s="614" t="s">
        <v>642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512" t="s">
        <v>464</v>
      </c>
    </row>
    <row r="2" spans="1:13" ht="13.5" x14ac:dyDescent="0.3">
      <c r="A2" s="617" t="s">
        <v>198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</row>
    <row r="3" spans="1:13" x14ac:dyDescent="0.25">
      <c r="D3" s="436" t="s">
        <v>564</v>
      </c>
      <c r="E3" s="436" t="s">
        <v>565</v>
      </c>
      <c r="F3" s="436" t="s">
        <v>566</v>
      </c>
      <c r="G3" s="436" t="s">
        <v>567</v>
      </c>
      <c r="J3" s="143" t="s">
        <v>201</v>
      </c>
    </row>
    <row r="4" spans="1:13" ht="27" x14ac:dyDescent="0.25">
      <c r="A4" s="488" t="s">
        <v>199</v>
      </c>
      <c r="B4" s="488" t="s">
        <v>137</v>
      </c>
      <c r="C4" s="489" t="s">
        <v>200</v>
      </c>
      <c r="D4" s="490">
        <v>0.13</v>
      </c>
      <c r="E4" s="490">
        <v>0.1</v>
      </c>
      <c r="F4" s="491">
        <v>1.6E-2</v>
      </c>
      <c r="G4" s="491">
        <v>1.1900000000000001E-2</v>
      </c>
      <c r="H4" s="489" t="s">
        <v>568</v>
      </c>
      <c r="I4" s="489" t="s">
        <v>569</v>
      </c>
      <c r="J4" s="489" t="s">
        <v>570</v>
      </c>
      <c r="K4" s="489" t="s">
        <v>202</v>
      </c>
      <c r="L4" s="489" t="s">
        <v>571</v>
      </c>
    </row>
    <row r="5" spans="1:13" x14ac:dyDescent="0.25">
      <c r="A5" s="487" t="s">
        <v>205</v>
      </c>
      <c r="B5" s="144">
        <v>1</v>
      </c>
      <c r="C5" s="145">
        <v>1000</v>
      </c>
      <c r="D5" s="145">
        <f>+D4*C5</f>
        <v>130</v>
      </c>
      <c r="E5" s="145"/>
      <c r="F5" s="145"/>
      <c r="G5" s="145"/>
      <c r="H5" s="145">
        <f>D5</f>
        <v>130</v>
      </c>
      <c r="I5" s="145">
        <f>C5-D5</f>
        <v>870</v>
      </c>
      <c r="J5" s="146">
        <f>+C5*9%</f>
        <v>90</v>
      </c>
      <c r="K5" s="145">
        <f>C5+J5</f>
        <v>1090</v>
      </c>
      <c r="L5" s="145">
        <f t="shared" ref="L5:L10" si="0">K5/4</f>
        <v>272.5</v>
      </c>
    </row>
    <row r="6" spans="1:13" x14ac:dyDescent="0.25">
      <c r="A6" s="487" t="s">
        <v>206</v>
      </c>
      <c r="B6" s="144">
        <v>1</v>
      </c>
      <c r="C6" s="145">
        <v>850</v>
      </c>
      <c r="D6" s="145">
        <f>+D4*C6</f>
        <v>110.5</v>
      </c>
      <c r="E6" s="145"/>
      <c r="F6" s="145"/>
      <c r="G6" s="145"/>
      <c r="H6" s="145">
        <f>+D6</f>
        <v>110.5</v>
      </c>
      <c r="I6" s="145">
        <f>+C6-D6</f>
        <v>739.5</v>
      </c>
      <c r="J6" s="146">
        <f>+C6*9%</f>
        <v>76.5</v>
      </c>
      <c r="K6" s="145">
        <f t="shared" ref="K6:K7" si="1">C6+J6</f>
        <v>926.5</v>
      </c>
      <c r="L6" s="145">
        <f t="shared" si="0"/>
        <v>231.625</v>
      </c>
    </row>
    <row r="7" spans="1:13" ht="13.5" x14ac:dyDescent="0.3">
      <c r="A7" s="487" t="s">
        <v>207</v>
      </c>
      <c r="B7" s="144">
        <v>2</v>
      </c>
      <c r="C7" s="145">
        <v>850</v>
      </c>
      <c r="D7" s="145">
        <f>+D4*C7</f>
        <v>110.5</v>
      </c>
      <c r="E7" s="437"/>
      <c r="F7" s="437"/>
      <c r="G7" s="437"/>
      <c r="H7" s="145">
        <f t="shared" ref="H7" si="2">D7</f>
        <v>110.5</v>
      </c>
      <c r="I7" s="145">
        <f t="shared" ref="I7:I9" si="3">+C7-D7</f>
        <v>739.5</v>
      </c>
      <c r="J7" s="146">
        <f>+C7*9%</f>
        <v>76.5</v>
      </c>
      <c r="K7" s="145">
        <f t="shared" si="1"/>
        <v>926.5</v>
      </c>
      <c r="L7" s="145">
        <f t="shared" si="0"/>
        <v>231.625</v>
      </c>
    </row>
    <row r="8" spans="1:13" x14ac:dyDescent="0.25">
      <c r="A8" s="487" t="s">
        <v>208</v>
      </c>
      <c r="B8" s="144">
        <v>2</v>
      </c>
      <c r="C8" s="145">
        <v>850</v>
      </c>
      <c r="D8" s="145">
        <f>+D4*C8</f>
        <v>110.5</v>
      </c>
      <c r="E8" s="145"/>
      <c r="F8" s="145"/>
      <c r="G8" s="145"/>
      <c r="H8" s="145">
        <f>+D8</f>
        <v>110.5</v>
      </c>
      <c r="I8" s="145">
        <f t="shared" si="3"/>
        <v>739.5</v>
      </c>
      <c r="J8" s="146">
        <f>+C8*9%</f>
        <v>76.5</v>
      </c>
      <c r="K8" s="145">
        <f>C8+J8</f>
        <v>926.5</v>
      </c>
      <c r="L8" s="145">
        <f t="shared" si="0"/>
        <v>231.625</v>
      </c>
    </row>
    <row r="9" spans="1:13" ht="13.5" x14ac:dyDescent="0.3">
      <c r="A9" s="487" t="s">
        <v>209</v>
      </c>
      <c r="B9" s="144">
        <v>1</v>
      </c>
      <c r="C9" s="145">
        <v>850</v>
      </c>
      <c r="D9" s="145">
        <f>+D4*C9</f>
        <v>110.5</v>
      </c>
      <c r="E9" s="437"/>
      <c r="F9" s="437"/>
      <c r="G9" s="437"/>
      <c r="H9" s="145">
        <f t="shared" ref="H9" si="4">D9</f>
        <v>110.5</v>
      </c>
      <c r="I9" s="145">
        <f t="shared" si="3"/>
        <v>739.5</v>
      </c>
      <c r="J9" s="146">
        <f>+C9*9%</f>
        <v>76.5</v>
      </c>
      <c r="K9" s="145">
        <f>C9+J9</f>
        <v>926.5</v>
      </c>
      <c r="L9" s="145">
        <f t="shared" si="0"/>
        <v>231.625</v>
      </c>
    </row>
    <row r="10" spans="1:13" ht="13.5" x14ac:dyDescent="0.3">
      <c r="A10" s="477" t="s">
        <v>210</v>
      </c>
      <c r="B10" s="477"/>
      <c r="C10" s="478">
        <f>SUM(C5:C9)</f>
        <v>4400</v>
      </c>
      <c r="D10" s="479">
        <f>SUM(D5:D9)</f>
        <v>572</v>
      </c>
      <c r="E10" s="479"/>
      <c r="F10" s="479"/>
      <c r="G10" s="479"/>
      <c r="H10" s="479">
        <f>SUM(H5:H9)</f>
        <v>572</v>
      </c>
      <c r="I10" s="479">
        <f>SUM(I5:I9)</f>
        <v>3828</v>
      </c>
      <c r="J10" s="479">
        <f>SUM(J5:J9)</f>
        <v>396</v>
      </c>
      <c r="K10" s="478">
        <f>SUM(K5:K9)</f>
        <v>4796</v>
      </c>
      <c r="L10" s="478">
        <f t="shared" si="0"/>
        <v>1199</v>
      </c>
    </row>
    <row r="11" spans="1:13" ht="13.5" x14ac:dyDescent="0.3">
      <c r="A11" s="439" t="s">
        <v>212</v>
      </c>
      <c r="B11" s="440" t="s">
        <v>213</v>
      </c>
      <c r="D11" s="441"/>
      <c r="E11" s="441"/>
      <c r="F11" s="441"/>
      <c r="G11" s="441"/>
      <c r="H11" s="441"/>
      <c r="I11" s="441"/>
      <c r="J11" s="441"/>
    </row>
    <row r="12" spans="1:13" x14ac:dyDescent="0.25">
      <c r="A12" s="147" t="s">
        <v>214</v>
      </c>
      <c r="B12" s="148">
        <v>0.125</v>
      </c>
      <c r="D12" s="442"/>
      <c r="E12" s="442"/>
      <c r="F12" s="442"/>
      <c r="G12" s="442"/>
      <c r="H12" s="442"/>
      <c r="I12" s="442"/>
      <c r="J12" s="442"/>
    </row>
    <row r="13" spans="1:13" x14ac:dyDescent="0.25">
      <c r="A13" s="147" t="s">
        <v>215</v>
      </c>
      <c r="B13" s="148">
        <v>8.5000000000000006E-2</v>
      </c>
    </row>
    <row r="16" spans="1:13" ht="13.5" x14ac:dyDescent="0.3">
      <c r="A16" s="617" t="s">
        <v>216</v>
      </c>
      <c r="B16" s="617"/>
      <c r="C16" s="617"/>
      <c r="D16" s="617"/>
      <c r="E16" s="617"/>
      <c r="F16" s="617"/>
      <c r="G16" s="617"/>
      <c r="H16" s="617"/>
      <c r="I16" s="617"/>
      <c r="J16" s="617"/>
      <c r="K16" s="617"/>
      <c r="L16" s="617"/>
    </row>
    <row r="17" spans="1:12" x14ac:dyDescent="0.25">
      <c r="D17" s="436" t="s">
        <v>564</v>
      </c>
      <c r="E17" s="436" t="s">
        <v>565</v>
      </c>
      <c r="F17" s="436" t="s">
        <v>566</v>
      </c>
      <c r="G17" s="436" t="s">
        <v>567</v>
      </c>
    </row>
    <row r="18" spans="1:12" ht="27" x14ac:dyDescent="0.25">
      <c r="A18" s="480" t="s">
        <v>199</v>
      </c>
      <c r="B18" s="480" t="s">
        <v>137</v>
      </c>
      <c r="C18" s="481" t="s">
        <v>200</v>
      </c>
      <c r="D18" s="482">
        <v>0.13</v>
      </c>
      <c r="E18" s="482">
        <v>0.1</v>
      </c>
      <c r="F18" s="483">
        <v>1.6E-2</v>
      </c>
      <c r="G18" s="483">
        <v>1.1900000000000001E-2</v>
      </c>
      <c r="H18" s="481" t="s">
        <v>568</v>
      </c>
      <c r="I18" s="481" t="s">
        <v>569</v>
      </c>
      <c r="J18" s="481" t="s">
        <v>570</v>
      </c>
      <c r="K18" s="481" t="s">
        <v>202</v>
      </c>
      <c r="L18" s="481" t="s">
        <v>571</v>
      </c>
    </row>
    <row r="19" spans="1:12" x14ac:dyDescent="0.25">
      <c r="A19" s="42" t="s">
        <v>217</v>
      </c>
      <c r="B19" s="144">
        <v>1</v>
      </c>
      <c r="C19" s="145">
        <v>1200</v>
      </c>
      <c r="D19" s="145">
        <f>+D18*C19</f>
        <v>156</v>
      </c>
      <c r="E19" s="145"/>
      <c r="F19" s="145"/>
      <c r="G19" s="145"/>
      <c r="H19" s="145">
        <f>D19</f>
        <v>156</v>
      </c>
      <c r="I19" s="145">
        <f>+C19-H19</f>
        <v>1044</v>
      </c>
      <c r="J19" s="146">
        <f>+C19*9%</f>
        <v>108</v>
      </c>
      <c r="K19" s="145">
        <f>C19+J19</f>
        <v>1308</v>
      </c>
      <c r="L19" s="145">
        <f>K19/4</f>
        <v>327</v>
      </c>
    </row>
    <row r="20" spans="1:12" ht="13.5" x14ac:dyDescent="0.3">
      <c r="A20" s="484" t="s">
        <v>210</v>
      </c>
      <c r="B20" s="484"/>
      <c r="C20" s="485">
        <f>SUM(C19:C19)</f>
        <v>1200</v>
      </c>
      <c r="D20" s="486"/>
      <c r="E20" s="486"/>
      <c r="F20" s="486"/>
      <c r="G20" s="486"/>
      <c r="H20" s="486"/>
      <c r="I20" s="486"/>
      <c r="J20" s="486"/>
      <c r="K20" s="485">
        <f>SUM(K19:K19)</f>
        <v>1308</v>
      </c>
      <c r="L20" s="485">
        <f>SUM(L19:L19)</f>
        <v>327</v>
      </c>
    </row>
    <row r="21" spans="1:12" ht="13.5" x14ac:dyDescent="0.3">
      <c r="A21" s="439" t="s">
        <v>212</v>
      </c>
      <c r="B21" s="440" t="s">
        <v>213</v>
      </c>
      <c r="D21" s="442"/>
      <c r="E21" s="442"/>
      <c r="F21" s="442"/>
      <c r="G21" s="442"/>
      <c r="H21" s="442"/>
      <c r="I21" s="442"/>
    </row>
    <row r="22" spans="1:12" x14ac:dyDescent="0.25">
      <c r="A22" s="147" t="s">
        <v>214</v>
      </c>
      <c r="B22" s="148">
        <v>0.125</v>
      </c>
    </row>
    <row r="23" spans="1:12" x14ac:dyDescent="0.25">
      <c r="A23" s="147" t="s">
        <v>215</v>
      </c>
      <c r="B23" s="148">
        <v>8.5000000000000006E-2</v>
      </c>
    </row>
    <row r="24" spans="1:12" ht="14.25" thickBot="1" x14ac:dyDescent="0.35">
      <c r="K24" s="438">
        <f>K10+K20</f>
        <v>6104</v>
      </c>
    </row>
    <row r="25" spans="1:12" ht="19.5" thickBot="1" x14ac:dyDescent="0.35">
      <c r="A25" s="615" t="s">
        <v>218</v>
      </c>
      <c r="B25" s="615"/>
      <c r="C25" s="615"/>
    </row>
    <row r="26" spans="1:12" ht="14.25" thickBot="1" x14ac:dyDescent="0.35">
      <c r="A26" s="616" t="s">
        <v>198</v>
      </c>
      <c r="B26" s="616"/>
      <c r="C26" s="149">
        <f>K10</f>
        <v>4796</v>
      </c>
    </row>
    <row r="27" spans="1:12" ht="14.25" thickBot="1" x14ac:dyDescent="0.35">
      <c r="A27" s="616" t="s">
        <v>216</v>
      </c>
      <c r="B27" s="616"/>
      <c r="C27" s="150">
        <f>K20</f>
        <v>1308</v>
      </c>
    </row>
    <row r="28" spans="1:12" ht="17.25" thickBot="1" x14ac:dyDescent="0.35">
      <c r="A28" s="613" t="s">
        <v>211</v>
      </c>
      <c r="B28" s="613"/>
      <c r="C28" s="151">
        <f>C26+C27</f>
        <v>6104</v>
      </c>
    </row>
    <row r="30" spans="1:12" x14ac:dyDescent="0.25">
      <c r="K30" s="389"/>
    </row>
  </sheetData>
  <mergeCells count="7">
    <mergeCell ref="A28:B28"/>
    <mergeCell ref="A1:L1"/>
    <mergeCell ref="A25:C25"/>
    <mergeCell ref="A26:B26"/>
    <mergeCell ref="A27:B27"/>
    <mergeCell ref="A16:L16"/>
    <mergeCell ref="A2:L2"/>
  </mergeCells>
  <hyperlinks>
    <hyperlink ref="M1" location="INDICE!A1" display="INDICE"/>
  </hyperlinks>
  <pageMargins left="0.7" right="0.7" top="0.75" bottom="0.75" header="0.3" footer="0.3"/>
  <ignoredErrors>
    <ignoredError sqref="H7:H8 H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</sheetPr>
  <dimension ref="A1:F19"/>
  <sheetViews>
    <sheetView showGridLines="0" topLeftCell="A7" workbookViewId="0">
      <selection activeCell="E7" sqref="E7"/>
    </sheetView>
  </sheetViews>
  <sheetFormatPr baseColWidth="10" defaultRowHeight="16.5" x14ac:dyDescent="0.3"/>
  <cols>
    <col min="1" max="1" width="45.25" customWidth="1"/>
    <col min="2" max="2" width="12.75" customWidth="1"/>
    <col min="3" max="3" width="6" customWidth="1"/>
    <col min="4" max="4" width="6.375" customWidth="1"/>
    <col min="5" max="5" width="11" customWidth="1"/>
  </cols>
  <sheetData>
    <row r="1" spans="1:6" ht="21" x14ac:dyDescent="0.35">
      <c r="A1" s="605" t="s">
        <v>219</v>
      </c>
      <c r="B1" s="605"/>
      <c r="C1" s="605"/>
      <c r="D1" s="605"/>
      <c r="E1" s="605"/>
      <c r="F1" s="512" t="s">
        <v>464</v>
      </c>
    </row>
    <row r="2" spans="1:6" x14ac:dyDescent="0.3">
      <c r="A2" s="46"/>
      <c r="B2" s="46"/>
      <c r="C2" s="46"/>
      <c r="D2" s="46"/>
      <c r="E2" s="46"/>
    </row>
    <row r="3" spans="1:6" x14ac:dyDescent="0.3">
      <c r="A3" s="618" t="s">
        <v>48</v>
      </c>
      <c r="B3" s="618" t="s">
        <v>49</v>
      </c>
      <c r="C3" s="618" t="s">
        <v>50</v>
      </c>
      <c r="D3" s="618" t="s">
        <v>51</v>
      </c>
      <c r="E3" s="618" t="s">
        <v>52</v>
      </c>
    </row>
    <row r="4" spans="1:6" x14ac:dyDescent="0.3">
      <c r="A4" s="618"/>
      <c r="B4" s="618"/>
      <c r="C4" s="618"/>
      <c r="D4" s="618"/>
      <c r="E4" s="618"/>
    </row>
    <row r="5" spans="1:6" x14ac:dyDescent="0.3">
      <c r="A5" s="155" t="s">
        <v>220</v>
      </c>
      <c r="B5" s="156"/>
      <c r="C5" s="157"/>
      <c r="D5" s="157"/>
      <c r="E5" s="158">
        <f>SUM(E6:E9)</f>
        <v>2780</v>
      </c>
    </row>
    <row r="6" spans="1:6" x14ac:dyDescent="0.3">
      <c r="A6" s="105" t="s">
        <v>221</v>
      </c>
      <c r="B6" s="159">
        <v>1500</v>
      </c>
      <c r="C6" s="160">
        <v>1</v>
      </c>
      <c r="D6" s="160"/>
      <c r="E6" s="161">
        <f t="shared" ref="E6:E9" si="0">B6*C6</f>
        <v>1500</v>
      </c>
    </row>
    <row r="7" spans="1:6" x14ac:dyDescent="0.3">
      <c r="A7" s="59" t="s">
        <v>222</v>
      </c>
      <c r="B7" s="159">
        <v>360</v>
      </c>
      <c r="C7" s="160">
        <v>1</v>
      </c>
      <c r="D7" s="160"/>
      <c r="E7" s="161">
        <f t="shared" si="0"/>
        <v>360</v>
      </c>
    </row>
    <row r="8" spans="1:6" x14ac:dyDescent="0.3">
      <c r="A8" s="59" t="s">
        <v>223</v>
      </c>
      <c r="B8" s="159">
        <v>120</v>
      </c>
      <c r="C8" s="160">
        <v>1</v>
      </c>
      <c r="D8" s="160"/>
      <c r="E8" s="161">
        <f t="shared" si="0"/>
        <v>120</v>
      </c>
    </row>
    <row r="9" spans="1:6" x14ac:dyDescent="0.3">
      <c r="A9" s="59" t="s">
        <v>234</v>
      </c>
      <c r="B9" s="159">
        <v>800</v>
      </c>
      <c r="C9" s="160">
        <v>1</v>
      </c>
      <c r="D9" s="160"/>
      <c r="E9" s="161">
        <f t="shared" si="0"/>
        <v>800</v>
      </c>
    </row>
    <row r="10" spans="1:6" x14ac:dyDescent="0.3">
      <c r="A10" s="155" t="s">
        <v>224</v>
      </c>
      <c r="B10" s="156"/>
      <c r="C10" s="157"/>
      <c r="D10" s="157"/>
      <c r="E10" s="158">
        <f>SUM(E11:E14)</f>
        <v>500</v>
      </c>
    </row>
    <row r="11" spans="1:6" x14ac:dyDescent="0.3">
      <c r="A11" s="59" t="s">
        <v>225</v>
      </c>
      <c r="B11" s="159">
        <v>25</v>
      </c>
      <c r="C11" s="160">
        <v>4</v>
      </c>
      <c r="D11" s="160" t="s">
        <v>226</v>
      </c>
      <c r="E11" s="161">
        <f>B11*C11</f>
        <v>100</v>
      </c>
    </row>
    <row r="12" spans="1:6" x14ac:dyDescent="0.3">
      <c r="A12" s="59" t="s">
        <v>227</v>
      </c>
      <c r="B12" s="159">
        <v>180</v>
      </c>
      <c r="C12" s="160">
        <v>1</v>
      </c>
      <c r="D12" s="61" t="s">
        <v>228</v>
      </c>
      <c r="E12" s="161">
        <f t="shared" ref="E12:E14" si="1">B12*C12</f>
        <v>180</v>
      </c>
    </row>
    <row r="13" spans="1:6" x14ac:dyDescent="0.3">
      <c r="A13" s="59" t="s">
        <v>229</v>
      </c>
      <c r="B13" s="159">
        <v>120</v>
      </c>
      <c r="C13" s="160">
        <v>1</v>
      </c>
      <c r="D13" s="61" t="s">
        <v>59</v>
      </c>
      <c r="E13" s="161">
        <f>B13*C13</f>
        <v>120</v>
      </c>
    </row>
    <row r="14" spans="1:6" x14ac:dyDescent="0.3">
      <c r="A14" s="46" t="s">
        <v>230</v>
      </c>
      <c r="B14" s="159">
        <v>100</v>
      </c>
      <c r="C14" s="160">
        <v>1</v>
      </c>
      <c r="D14" s="61" t="s">
        <v>59</v>
      </c>
      <c r="E14" s="161">
        <f t="shared" si="1"/>
        <v>100</v>
      </c>
    </row>
    <row r="15" spans="1:6" x14ac:dyDescent="0.3">
      <c r="A15" s="162" t="s">
        <v>231</v>
      </c>
      <c r="B15" s="163"/>
      <c r="C15" s="164"/>
      <c r="D15" s="164"/>
      <c r="E15" s="165">
        <f>E5+E10</f>
        <v>3280</v>
      </c>
    </row>
    <row r="16" spans="1:6" x14ac:dyDescent="0.3">
      <c r="A16" s="143"/>
      <c r="B16" s="143"/>
      <c r="C16" s="143"/>
      <c r="D16" s="143"/>
      <c r="E16" s="143"/>
    </row>
    <row r="17" spans="1:5" x14ac:dyDescent="0.3">
      <c r="A17" s="143"/>
      <c r="B17" s="143"/>
      <c r="C17" s="143"/>
      <c r="D17" s="143"/>
      <c r="E17" s="143"/>
    </row>
    <row r="18" spans="1:5" x14ac:dyDescent="0.3">
      <c r="A18" s="143" t="s">
        <v>232</v>
      </c>
      <c r="B18" s="143"/>
      <c r="C18" s="143"/>
      <c r="D18" s="143"/>
      <c r="E18" s="143"/>
    </row>
    <row r="19" spans="1:5" x14ac:dyDescent="0.3">
      <c r="A19" s="143" t="s">
        <v>233</v>
      </c>
      <c r="B19" s="143"/>
      <c r="C19" s="143"/>
      <c r="D19" s="143"/>
      <c r="E19" s="143"/>
    </row>
  </sheetData>
  <mergeCells count="6">
    <mergeCell ref="A1:E1"/>
    <mergeCell ref="A3:A4"/>
    <mergeCell ref="B3:B4"/>
    <mergeCell ref="C3:C4"/>
    <mergeCell ref="D3:D4"/>
    <mergeCell ref="E3:E4"/>
  </mergeCells>
  <hyperlinks>
    <hyperlink ref="F1" location="INDICE!A1" display="INDICE"/>
  </hyperlinks>
  <pageMargins left="0.7" right="0.7" top="0.75" bottom="0.75" header="0.3" footer="0.3"/>
  <ignoredErrors>
    <ignoredError sqref="E1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</sheetPr>
  <dimension ref="A1:N44"/>
  <sheetViews>
    <sheetView showGridLines="0" topLeftCell="A31" workbookViewId="0">
      <selection activeCell="G7" sqref="G7"/>
    </sheetView>
  </sheetViews>
  <sheetFormatPr baseColWidth="10" defaultRowHeight="16.5" x14ac:dyDescent="0.3"/>
  <cols>
    <col min="1" max="1" width="6" customWidth="1"/>
    <col min="3" max="3" width="34.25" customWidth="1"/>
    <col min="5" max="5" width="14" customWidth="1"/>
    <col min="6" max="6" width="11" style="166" customWidth="1"/>
    <col min="7" max="7" width="15.625" style="16" customWidth="1"/>
    <col min="8" max="8" width="7.25" style="16" customWidth="1"/>
    <col min="9" max="9" width="28.75" style="16" customWidth="1"/>
    <col min="10" max="10" width="14.75" style="16" customWidth="1"/>
    <col min="11" max="11" width="11" style="16"/>
    <col min="12" max="12" width="14" style="16" customWidth="1"/>
    <col min="13" max="14" width="11" style="16"/>
  </cols>
  <sheetData>
    <row r="1" spans="1:10" ht="21" x14ac:dyDescent="0.35">
      <c r="A1" s="620" t="s">
        <v>235</v>
      </c>
      <c r="B1" s="620"/>
      <c r="C1" s="620"/>
      <c r="D1" s="620"/>
      <c r="E1" s="620"/>
      <c r="F1" s="620"/>
      <c r="G1" s="620"/>
    </row>
    <row r="2" spans="1:10" x14ac:dyDescent="0.3">
      <c r="I2" s="619" t="s">
        <v>236</v>
      </c>
      <c r="J2" s="619"/>
    </row>
    <row r="3" spans="1:10" ht="27" x14ac:dyDescent="0.3">
      <c r="A3" s="621" t="s">
        <v>237</v>
      </c>
      <c r="B3" s="621" t="s">
        <v>51</v>
      </c>
      <c r="C3" s="621" t="s">
        <v>48</v>
      </c>
      <c r="D3" s="622" t="s">
        <v>49</v>
      </c>
      <c r="E3" s="623" t="s">
        <v>28</v>
      </c>
      <c r="F3" s="624" t="s">
        <v>238</v>
      </c>
      <c r="G3" s="625" t="s">
        <v>239</v>
      </c>
      <c r="I3" s="167" t="s">
        <v>199</v>
      </c>
      <c r="J3" s="167" t="s">
        <v>239</v>
      </c>
    </row>
    <row r="4" spans="1:10" x14ac:dyDescent="0.3">
      <c r="A4" s="621"/>
      <c r="B4" s="621"/>
      <c r="C4" s="621"/>
      <c r="D4" s="622"/>
      <c r="E4" s="623"/>
      <c r="F4" s="624"/>
      <c r="G4" s="625"/>
      <c r="I4" s="168" t="s">
        <v>240</v>
      </c>
      <c r="J4" s="169">
        <f>G6</f>
        <v>376.45833333333337</v>
      </c>
    </row>
    <row r="5" spans="1:10" x14ac:dyDescent="0.3">
      <c r="A5" s="170"/>
      <c r="B5" s="170"/>
      <c r="C5" s="171" t="s">
        <v>241</v>
      </c>
      <c r="D5" s="172"/>
      <c r="E5" s="173"/>
      <c r="F5" s="174"/>
      <c r="G5" s="175"/>
      <c r="I5" s="176" t="s">
        <v>242</v>
      </c>
      <c r="J5" s="177">
        <f>G12</f>
        <v>24.074999999999999</v>
      </c>
    </row>
    <row r="6" spans="1:10" x14ac:dyDescent="0.3">
      <c r="A6" s="178"/>
      <c r="B6" s="178"/>
      <c r="C6" s="152" t="s">
        <v>57</v>
      </c>
      <c r="D6" s="179"/>
      <c r="E6" s="180"/>
      <c r="F6" s="174"/>
      <c r="G6" s="181">
        <f>SUM(G7:G11)</f>
        <v>376.45833333333337</v>
      </c>
      <c r="I6" s="176" t="s">
        <v>243</v>
      </c>
      <c r="J6" s="177">
        <f>G25</f>
        <v>184.375</v>
      </c>
    </row>
    <row r="7" spans="1:10" x14ac:dyDescent="0.3">
      <c r="A7" s="154">
        <v>1</v>
      </c>
      <c r="B7" s="154" t="s">
        <v>59</v>
      </c>
      <c r="C7" s="153" t="s">
        <v>58</v>
      </c>
      <c r="D7" s="182">
        <v>1299</v>
      </c>
      <c r="E7" s="183">
        <f>D7*A7</f>
        <v>1299</v>
      </c>
      <c r="F7" s="184">
        <v>24</v>
      </c>
      <c r="G7" s="185">
        <f>E7/F7</f>
        <v>54.125</v>
      </c>
      <c r="I7" s="186" t="s">
        <v>81</v>
      </c>
      <c r="J7" s="177">
        <f>SUM(J4:J6)</f>
        <v>584.9083333333333</v>
      </c>
    </row>
    <row r="8" spans="1:10" x14ac:dyDescent="0.3">
      <c r="A8" s="154">
        <v>2</v>
      </c>
      <c r="B8" s="154" t="s">
        <v>59</v>
      </c>
      <c r="C8" s="153" t="s">
        <v>60</v>
      </c>
      <c r="D8" s="182">
        <v>1999</v>
      </c>
      <c r="E8" s="183">
        <f t="shared" ref="E8:E11" si="0">D8*A8</f>
        <v>3998</v>
      </c>
      <c r="F8" s="184">
        <v>24</v>
      </c>
      <c r="G8" s="185">
        <f t="shared" ref="G8:G11" si="1">E8/F8</f>
        <v>166.58333333333334</v>
      </c>
      <c r="I8" s="186" t="s">
        <v>97</v>
      </c>
      <c r="J8" s="177">
        <f>G43</f>
        <v>83.041666666666671</v>
      </c>
    </row>
    <row r="9" spans="1:10" x14ac:dyDescent="0.3">
      <c r="A9" s="154">
        <v>2</v>
      </c>
      <c r="B9" s="154" t="s">
        <v>59</v>
      </c>
      <c r="C9" s="153" t="s">
        <v>61</v>
      </c>
      <c r="D9" s="182">
        <v>120</v>
      </c>
      <c r="E9" s="183">
        <f t="shared" si="0"/>
        <v>240</v>
      </c>
      <c r="F9" s="184">
        <v>24</v>
      </c>
      <c r="G9" s="185">
        <f t="shared" si="1"/>
        <v>10</v>
      </c>
      <c r="I9" s="354" t="s">
        <v>244</v>
      </c>
      <c r="J9" s="355">
        <f>J7+J8</f>
        <v>667.94999999999993</v>
      </c>
    </row>
    <row r="10" spans="1:10" x14ac:dyDescent="0.3">
      <c r="A10" s="154">
        <v>1</v>
      </c>
      <c r="B10" s="154" t="s">
        <v>59</v>
      </c>
      <c r="C10" s="153" t="s">
        <v>62</v>
      </c>
      <c r="D10" s="182">
        <v>1899</v>
      </c>
      <c r="E10" s="183">
        <f t="shared" si="0"/>
        <v>1899</v>
      </c>
      <c r="F10" s="184">
        <v>24</v>
      </c>
      <c r="G10" s="185">
        <f t="shared" si="1"/>
        <v>79.125</v>
      </c>
    </row>
    <row r="11" spans="1:10" x14ac:dyDescent="0.3">
      <c r="A11" s="154">
        <v>1</v>
      </c>
      <c r="B11" s="154" t="s">
        <v>59</v>
      </c>
      <c r="C11" s="153" t="s">
        <v>63</v>
      </c>
      <c r="D11" s="182">
        <v>1599</v>
      </c>
      <c r="E11" s="183">
        <f t="shared" si="0"/>
        <v>1599</v>
      </c>
      <c r="F11" s="184">
        <v>24</v>
      </c>
      <c r="G11" s="185">
        <f t="shared" si="1"/>
        <v>66.625</v>
      </c>
      <c r="J11" s="514" t="s">
        <v>464</v>
      </c>
    </row>
    <row r="12" spans="1:10" x14ac:dyDescent="0.3">
      <c r="A12" s="178"/>
      <c r="B12" s="178"/>
      <c r="C12" s="187" t="s">
        <v>64</v>
      </c>
      <c r="D12" s="179"/>
      <c r="E12" s="180"/>
      <c r="F12" s="174"/>
      <c r="G12" s="181">
        <f>SUM(G13:G24)</f>
        <v>24.074999999999999</v>
      </c>
    </row>
    <row r="13" spans="1:10" x14ac:dyDescent="0.3">
      <c r="A13" s="154">
        <v>2</v>
      </c>
      <c r="B13" s="154" t="s">
        <v>59</v>
      </c>
      <c r="C13" s="153" t="s">
        <v>65</v>
      </c>
      <c r="D13" s="182">
        <v>6</v>
      </c>
      <c r="E13" s="183">
        <f t="shared" ref="E13:E24" si="2">D13*A13</f>
        <v>12</v>
      </c>
      <c r="F13" s="184">
        <v>24</v>
      </c>
      <c r="G13" s="185">
        <f t="shared" ref="G13:G24" si="3">E13/F13</f>
        <v>0.5</v>
      </c>
    </row>
    <row r="14" spans="1:10" x14ac:dyDescent="0.3">
      <c r="A14" s="154">
        <v>15</v>
      </c>
      <c r="B14" s="154" t="s">
        <v>59</v>
      </c>
      <c r="C14" s="153" t="s">
        <v>66</v>
      </c>
      <c r="D14" s="182">
        <v>12</v>
      </c>
      <c r="E14" s="183">
        <f t="shared" si="2"/>
        <v>180</v>
      </c>
      <c r="F14" s="184">
        <v>24</v>
      </c>
      <c r="G14" s="185">
        <f t="shared" si="3"/>
        <v>7.5</v>
      </c>
    </row>
    <row r="15" spans="1:10" x14ac:dyDescent="0.3">
      <c r="A15" s="154">
        <v>1</v>
      </c>
      <c r="B15" s="154" t="s">
        <v>59</v>
      </c>
      <c r="C15" s="153" t="s">
        <v>67</v>
      </c>
      <c r="D15" s="182">
        <v>9.9</v>
      </c>
      <c r="E15" s="183">
        <f t="shared" si="2"/>
        <v>9.9</v>
      </c>
      <c r="F15" s="184">
        <v>24</v>
      </c>
      <c r="G15" s="185">
        <f t="shared" si="3"/>
        <v>0.41250000000000003</v>
      </c>
    </row>
    <row r="16" spans="1:10" x14ac:dyDescent="0.3">
      <c r="A16" s="154">
        <v>10</v>
      </c>
      <c r="B16" s="154" t="s">
        <v>59</v>
      </c>
      <c r="C16" s="153" t="s">
        <v>68</v>
      </c>
      <c r="D16" s="182">
        <v>1.9</v>
      </c>
      <c r="E16" s="183">
        <f t="shared" si="2"/>
        <v>19</v>
      </c>
      <c r="F16" s="184">
        <v>24</v>
      </c>
      <c r="G16" s="185">
        <f t="shared" si="3"/>
        <v>0.79166666666666663</v>
      </c>
    </row>
    <row r="17" spans="1:7" x14ac:dyDescent="0.3">
      <c r="A17" s="154">
        <v>10</v>
      </c>
      <c r="B17" s="154" t="s">
        <v>59</v>
      </c>
      <c r="C17" s="153" t="s">
        <v>69</v>
      </c>
      <c r="D17" s="182">
        <v>3.9</v>
      </c>
      <c r="E17" s="183">
        <f t="shared" si="2"/>
        <v>39</v>
      </c>
      <c r="F17" s="184">
        <v>24</v>
      </c>
      <c r="G17" s="185">
        <f t="shared" si="3"/>
        <v>1.625</v>
      </c>
    </row>
    <row r="18" spans="1:7" x14ac:dyDescent="0.3">
      <c r="A18" s="154">
        <v>1</v>
      </c>
      <c r="B18" s="154" t="s">
        <v>59</v>
      </c>
      <c r="C18" s="153" t="s">
        <v>70</v>
      </c>
      <c r="D18" s="182">
        <v>3.5</v>
      </c>
      <c r="E18" s="183">
        <f t="shared" si="2"/>
        <v>3.5</v>
      </c>
      <c r="F18" s="184">
        <v>24</v>
      </c>
      <c r="G18" s="185">
        <f t="shared" si="3"/>
        <v>0.14583333333333334</v>
      </c>
    </row>
    <row r="19" spans="1:7" x14ac:dyDescent="0.3">
      <c r="A19" s="154">
        <v>1</v>
      </c>
      <c r="B19" s="154" t="s">
        <v>59</v>
      </c>
      <c r="C19" s="153" t="s">
        <v>71</v>
      </c>
      <c r="D19" s="182">
        <v>9.9</v>
      </c>
      <c r="E19" s="183">
        <f t="shared" si="2"/>
        <v>9.9</v>
      </c>
      <c r="F19" s="184">
        <v>24</v>
      </c>
      <c r="G19" s="185">
        <f t="shared" si="3"/>
        <v>0.41250000000000003</v>
      </c>
    </row>
    <row r="20" spans="1:7" x14ac:dyDescent="0.3">
      <c r="A20" s="154">
        <v>1</v>
      </c>
      <c r="B20" s="154" t="s">
        <v>59</v>
      </c>
      <c r="C20" s="153" t="s">
        <v>72</v>
      </c>
      <c r="D20" s="182">
        <v>8</v>
      </c>
      <c r="E20" s="183">
        <f t="shared" si="2"/>
        <v>8</v>
      </c>
      <c r="F20" s="184">
        <v>24</v>
      </c>
      <c r="G20" s="185">
        <f t="shared" si="3"/>
        <v>0.33333333333333331</v>
      </c>
    </row>
    <row r="21" spans="1:7" x14ac:dyDescent="0.3">
      <c r="A21" s="154">
        <v>1</v>
      </c>
      <c r="B21" s="154" t="s">
        <v>59</v>
      </c>
      <c r="C21" s="153" t="s">
        <v>73</v>
      </c>
      <c r="D21" s="182">
        <v>4</v>
      </c>
      <c r="E21" s="188">
        <f t="shared" si="2"/>
        <v>4</v>
      </c>
      <c r="F21" s="184">
        <v>24</v>
      </c>
      <c r="G21" s="185">
        <f t="shared" si="3"/>
        <v>0.16666666666666666</v>
      </c>
    </row>
    <row r="22" spans="1:7" x14ac:dyDescent="0.3">
      <c r="A22" s="154">
        <v>30</v>
      </c>
      <c r="B22" s="154" t="s">
        <v>59</v>
      </c>
      <c r="C22" s="153" t="s">
        <v>74</v>
      </c>
      <c r="D22" s="182">
        <v>4</v>
      </c>
      <c r="E22" s="188">
        <f t="shared" si="2"/>
        <v>120</v>
      </c>
      <c r="F22" s="184">
        <v>24</v>
      </c>
      <c r="G22" s="185">
        <f t="shared" si="3"/>
        <v>5</v>
      </c>
    </row>
    <row r="23" spans="1:7" x14ac:dyDescent="0.3">
      <c r="A23" s="154">
        <v>60</v>
      </c>
      <c r="B23" s="154" t="s">
        <v>59</v>
      </c>
      <c r="C23" s="153" t="s">
        <v>75</v>
      </c>
      <c r="D23" s="182">
        <v>2.5</v>
      </c>
      <c r="E23" s="188">
        <f t="shared" si="2"/>
        <v>150</v>
      </c>
      <c r="F23" s="184">
        <v>24</v>
      </c>
      <c r="G23" s="185">
        <f t="shared" si="3"/>
        <v>6.25</v>
      </c>
    </row>
    <row r="24" spans="1:7" x14ac:dyDescent="0.3">
      <c r="A24" s="154">
        <v>15</v>
      </c>
      <c r="B24" s="154" t="s">
        <v>59</v>
      </c>
      <c r="C24" s="153" t="s">
        <v>76</v>
      </c>
      <c r="D24" s="182">
        <v>1.5</v>
      </c>
      <c r="E24" s="188">
        <f t="shared" si="2"/>
        <v>22.5</v>
      </c>
      <c r="F24" s="184">
        <v>24</v>
      </c>
      <c r="G24" s="185">
        <f t="shared" si="3"/>
        <v>0.9375</v>
      </c>
    </row>
    <row r="25" spans="1:7" x14ac:dyDescent="0.3">
      <c r="A25" s="178"/>
      <c r="B25" s="178"/>
      <c r="C25" s="152" t="s">
        <v>77</v>
      </c>
      <c r="D25" s="179"/>
      <c r="E25" s="189"/>
      <c r="F25" s="174"/>
      <c r="G25" s="181">
        <f>SUM(G26:G28)</f>
        <v>184.375</v>
      </c>
    </row>
    <row r="26" spans="1:7" x14ac:dyDescent="0.3">
      <c r="A26" s="154">
        <v>15</v>
      </c>
      <c r="B26" s="154" t="s">
        <v>59</v>
      </c>
      <c r="C26" s="153" t="s">
        <v>78</v>
      </c>
      <c r="D26" s="182">
        <v>95</v>
      </c>
      <c r="E26" s="190">
        <f>D26*A26</f>
        <v>1425</v>
      </c>
      <c r="F26" s="184">
        <v>24</v>
      </c>
      <c r="G26" s="185">
        <f>E26/F26</f>
        <v>59.375</v>
      </c>
    </row>
    <row r="27" spans="1:7" x14ac:dyDescent="0.3">
      <c r="A27" s="154">
        <v>60</v>
      </c>
      <c r="B27" s="154" t="s">
        <v>59</v>
      </c>
      <c r="C27" s="153" t="s">
        <v>79</v>
      </c>
      <c r="D27" s="182">
        <v>25</v>
      </c>
      <c r="E27" s="190">
        <f>D27*A27</f>
        <v>1500</v>
      </c>
      <c r="F27" s="184">
        <v>24</v>
      </c>
      <c r="G27" s="185">
        <f>E27/F27</f>
        <v>62.5</v>
      </c>
    </row>
    <row r="28" spans="1:7" x14ac:dyDescent="0.3">
      <c r="A28" s="154">
        <v>1</v>
      </c>
      <c r="B28" s="154" t="s">
        <v>59</v>
      </c>
      <c r="C28" s="153" t="s">
        <v>80</v>
      </c>
      <c r="D28" s="182">
        <v>1500</v>
      </c>
      <c r="E28" s="190">
        <f>D28*A28</f>
        <v>1500</v>
      </c>
      <c r="F28" s="184">
        <v>24</v>
      </c>
      <c r="G28" s="185">
        <f>E28/F28</f>
        <v>62.5</v>
      </c>
    </row>
    <row r="29" spans="1:7" x14ac:dyDescent="0.3">
      <c r="A29" s="191"/>
      <c r="B29" s="191"/>
      <c r="C29" s="192" t="s">
        <v>81</v>
      </c>
      <c r="D29" s="193"/>
      <c r="E29" s="194"/>
      <c r="F29" s="174"/>
      <c r="G29" s="181">
        <f>SUM(G25+G12+G6)</f>
        <v>584.9083333333333</v>
      </c>
    </row>
    <row r="30" spans="1:7" x14ac:dyDescent="0.3">
      <c r="A30" s="195"/>
      <c r="B30" s="195"/>
      <c r="C30" s="196" t="s">
        <v>245</v>
      </c>
      <c r="D30" s="197"/>
      <c r="E30" s="198"/>
      <c r="F30" s="174"/>
      <c r="G30" s="181"/>
    </row>
    <row r="31" spans="1:7" x14ac:dyDescent="0.3">
      <c r="A31" s="199">
        <v>1</v>
      </c>
      <c r="B31" s="199" t="s">
        <v>84</v>
      </c>
      <c r="C31" s="200" t="s">
        <v>83</v>
      </c>
      <c r="D31" s="201">
        <v>100</v>
      </c>
      <c r="E31" s="202">
        <f t="shared" ref="E31:E42" si="4">D31*A31</f>
        <v>100</v>
      </c>
      <c r="F31" s="184">
        <v>24</v>
      </c>
      <c r="G31" s="185">
        <f t="shared" ref="G31:G42" si="5">E31/F31</f>
        <v>4.166666666666667</v>
      </c>
    </row>
    <row r="32" spans="1:7" x14ac:dyDescent="0.3">
      <c r="A32" s="154">
        <v>1</v>
      </c>
      <c r="B32" s="154" t="s">
        <v>86</v>
      </c>
      <c r="C32" s="153" t="s">
        <v>85</v>
      </c>
      <c r="D32" s="182">
        <v>180</v>
      </c>
      <c r="E32" s="188">
        <f t="shared" si="4"/>
        <v>180</v>
      </c>
      <c r="F32" s="184">
        <v>24</v>
      </c>
      <c r="G32" s="185">
        <f t="shared" si="5"/>
        <v>7.5</v>
      </c>
    </row>
    <row r="33" spans="1:7" x14ac:dyDescent="0.3">
      <c r="A33" s="203">
        <v>1</v>
      </c>
      <c r="B33" s="154" t="s">
        <v>86</v>
      </c>
      <c r="C33" s="204" t="s">
        <v>87</v>
      </c>
      <c r="D33" s="205">
        <v>150</v>
      </c>
      <c r="E33" s="188">
        <f t="shared" si="4"/>
        <v>150</v>
      </c>
      <c r="F33" s="184">
        <v>24</v>
      </c>
      <c r="G33" s="185">
        <f t="shared" si="5"/>
        <v>6.25</v>
      </c>
    </row>
    <row r="34" spans="1:7" x14ac:dyDescent="0.3">
      <c r="A34" s="203">
        <v>1</v>
      </c>
      <c r="B34" s="154" t="s">
        <v>86</v>
      </c>
      <c r="C34" s="204" t="s">
        <v>88</v>
      </c>
      <c r="D34" s="205">
        <v>0</v>
      </c>
      <c r="E34" s="188">
        <f t="shared" si="4"/>
        <v>0</v>
      </c>
      <c r="F34" s="184">
        <v>24</v>
      </c>
      <c r="G34" s="185">
        <f t="shared" si="5"/>
        <v>0</v>
      </c>
    </row>
    <row r="35" spans="1:7" x14ac:dyDescent="0.3">
      <c r="A35" s="203">
        <v>1</v>
      </c>
      <c r="B35" s="154" t="s">
        <v>86</v>
      </c>
      <c r="C35" s="204" t="s">
        <v>89</v>
      </c>
      <c r="D35" s="205">
        <v>300</v>
      </c>
      <c r="E35" s="188">
        <f t="shared" si="4"/>
        <v>300</v>
      </c>
      <c r="F35" s="184">
        <v>24</v>
      </c>
      <c r="G35" s="185">
        <f t="shared" si="5"/>
        <v>12.5</v>
      </c>
    </row>
    <row r="36" spans="1:7" x14ac:dyDescent="0.3">
      <c r="A36" s="203">
        <v>1</v>
      </c>
      <c r="B36" s="154" t="s">
        <v>86</v>
      </c>
      <c r="C36" s="204" t="s">
        <v>90</v>
      </c>
      <c r="D36" s="205">
        <v>18</v>
      </c>
      <c r="E36" s="188">
        <f t="shared" si="4"/>
        <v>18</v>
      </c>
      <c r="F36" s="184">
        <v>24</v>
      </c>
      <c r="G36" s="185">
        <f t="shared" si="5"/>
        <v>0.75</v>
      </c>
    </row>
    <row r="37" spans="1:7" x14ac:dyDescent="0.3">
      <c r="A37" s="203">
        <v>1</v>
      </c>
      <c r="B37" s="154" t="s">
        <v>86</v>
      </c>
      <c r="C37" s="204" t="s">
        <v>91</v>
      </c>
      <c r="D37" s="205">
        <v>300</v>
      </c>
      <c r="E37" s="188">
        <f t="shared" si="4"/>
        <v>300</v>
      </c>
      <c r="F37" s="184">
        <v>24</v>
      </c>
      <c r="G37" s="185">
        <f t="shared" si="5"/>
        <v>12.5</v>
      </c>
    </row>
    <row r="38" spans="1:7" x14ac:dyDescent="0.3">
      <c r="A38" s="203">
        <v>1</v>
      </c>
      <c r="B38" s="154" t="s">
        <v>86</v>
      </c>
      <c r="C38" s="204" t="s">
        <v>92</v>
      </c>
      <c r="D38" s="205">
        <v>300</v>
      </c>
      <c r="E38" s="188">
        <f t="shared" si="4"/>
        <v>300</v>
      </c>
      <c r="F38" s="184">
        <v>24</v>
      </c>
      <c r="G38" s="185">
        <f>E38/F38</f>
        <v>12.5</v>
      </c>
    </row>
    <row r="39" spans="1:7" x14ac:dyDescent="0.3">
      <c r="A39" s="203">
        <v>1</v>
      </c>
      <c r="B39" s="154" t="s">
        <v>86</v>
      </c>
      <c r="C39" s="204" t="s">
        <v>93</v>
      </c>
      <c r="D39" s="205">
        <v>300</v>
      </c>
      <c r="E39" s="188">
        <f t="shared" si="4"/>
        <v>300</v>
      </c>
      <c r="F39" s="184">
        <v>24</v>
      </c>
      <c r="G39" s="185">
        <f t="shared" si="5"/>
        <v>12.5</v>
      </c>
    </row>
    <row r="40" spans="1:7" x14ac:dyDescent="0.3">
      <c r="A40" s="203">
        <v>1</v>
      </c>
      <c r="B40" s="154" t="s">
        <v>86</v>
      </c>
      <c r="C40" s="204" t="s">
        <v>94</v>
      </c>
      <c r="D40" s="205">
        <v>200</v>
      </c>
      <c r="E40" s="188">
        <f t="shared" si="4"/>
        <v>200</v>
      </c>
      <c r="F40" s="184">
        <v>24</v>
      </c>
      <c r="G40" s="185">
        <f t="shared" si="5"/>
        <v>8.3333333333333339</v>
      </c>
    </row>
    <row r="41" spans="1:7" x14ac:dyDescent="0.3">
      <c r="A41" s="203">
        <v>1</v>
      </c>
      <c r="B41" s="203" t="s">
        <v>59</v>
      </c>
      <c r="C41" s="204" t="s">
        <v>95</v>
      </c>
      <c r="D41" s="205">
        <v>120</v>
      </c>
      <c r="E41" s="206">
        <f t="shared" si="4"/>
        <v>120</v>
      </c>
      <c r="F41" s="184">
        <v>24</v>
      </c>
      <c r="G41" s="185">
        <f t="shared" si="5"/>
        <v>5</v>
      </c>
    </row>
    <row r="42" spans="1:7" x14ac:dyDescent="0.3">
      <c r="A42" s="203">
        <v>1</v>
      </c>
      <c r="B42" s="203" t="s">
        <v>59</v>
      </c>
      <c r="C42" s="204" t="s">
        <v>96</v>
      </c>
      <c r="D42" s="205">
        <v>25</v>
      </c>
      <c r="E42" s="206">
        <f t="shared" si="4"/>
        <v>25</v>
      </c>
      <c r="F42" s="184">
        <v>24</v>
      </c>
      <c r="G42" s="185">
        <f t="shared" si="5"/>
        <v>1.0416666666666667</v>
      </c>
    </row>
    <row r="43" spans="1:7" x14ac:dyDescent="0.3">
      <c r="A43" s="178"/>
      <c r="B43" s="178"/>
      <c r="C43" s="152" t="s">
        <v>97</v>
      </c>
      <c r="D43" s="179"/>
      <c r="E43" s="189"/>
      <c r="F43" s="174"/>
      <c r="G43" s="181">
        <f>SUM(G31:G42)</f>
        <v>83.041666666666671</v>
      </c>
    </row>
    <row r="44" spans="1:7" x14ac:dyDescent="0.3">
      <c r="A44" s="178"/>
      <c r="B44" s="178"/>
      <c r="C44" s="152" t="s">
        <v>244</v>
      </c>
      <c r="D44" s="179"/>
      <c r="E44" s="189"/>
      <c r="F44" s="174"/>
      <c r="G44" s="181">
        <f>SUM(G43+G29)</f>
        <v>667.94999999999993</v>
      </c>
    </row>
  </sheetData>
  <mergeCells count="9">
    <mergeCell ref="I2:J2"/>
    <mergeCell ref="A1:G1"/>
    <mergeCell ref="A3:A4"/>
    <mergeCell ref="B3:B4"/>
    <mergeCell ref="C3:C4"/>
    <mergeCell ref="D3:D4"/>
    <mergeCell ref="E3:E4"/>
    <mergeCell ref="F3:F4"/>
    <mergeCell ref="G3:G4"/>
  </mergeCells>
  <hyperlinks>
    <hyperlink ref="J11" location="INDICE!A1" display="INDICE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</sheetPr>
  <dimension ref="A1:AA44"/>
  <sheetViews>
    <sheetView zoomScaleNormal="100" workbookViewId="0">
      <pane ySplit="4" topLeftCell="A5" activePane="bottomLeft" state="frozen"/>
      <selection activeCell="I20" sqref="I20"/>
      <selection pane="bottomLeft" activeCell="Y28" sqref="Y28"/>
    </sheetView>
  </sheetViews>
  <sheetFormatPr baseColWidth="10" defaultRowHeight="12.75" x14ac:dyDescent="0.25"/>
  <cols>
    <col min="1" max="1" width="23" style="1" bestFit="1" customWidth="1"/>
    <col min="2" max="25" width="11.25" style="1" customWidth="1"/>
    <col min="26" max="16384" width="11" style="1"/>
  </cols>
  <sheetData>
    <row r="1" spans="1:25" ht="15" customHeight="1" x14ac:dyDescent="0.3">
      <c r="A1" s="514" t="s">
        <v>464</v>
      </c>
    </row>
    <row r="2" spans="1:25" ht="21" x14ac:dyDescent="0.35">
      <c r="A2" s="605" t="s">
        <v>246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208"/>
      <c r="Q2" s="208"/>
      <c r="R2" s="208"/>
      <c r="S2" s="208"/>
      <c r="T2" s="208"/>
      <c r="U2" s="208"/>
      <c r="V2" s="208"/>
      <c r="W2" s="208"/>
      <c r="X2" s="208"/>
      <c r="Y2" s="208"/>
    </row>
    <row r="3" spans="1:25" ht="13.5" x14ac:dyDescent="0.3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</row>
    <row r="4" spans="1:25" ht="13.5" x14ac:dyDescent="0.25">
      <c r="A4" s="313" t="s">
        <v>203</v>
      </c>
      <c r="B4" s="313">
        <v>1</v>
      </c>
      <c r="C4" s="313">
        <v>2</v>
      </c>
      <c r="D4" s="313">
        <v>3</v>
      </c>
      <c r="E4" s="313">
        <v>4</v>
      </c>
      <c r="F4" s="313">
        <v>5</v>
      </c>
      <c r="G4" s="313">
        <v>6</v>
      </c>
      <c r="H4" s="313">
        <v>7</v>
      </c>
      <c r="I4" s="313">
        <v>8</v>
      </c>
      <c r="J4" s="313">
        <v>9</v>
      </c>
      <c r="K4" s="313">
        <v>10</v>
      </c>
      <c r="L4" s="313">
        <v>11</v>
      </c>
      <c r="M4" s="313">
        <v>12</v>
      </c>
      <c r="N4" s="313">
        <v>13</v>
      </c>
      <c r="O4" s="313">
        <v>14</v>
      </c>
      <c r="P4" s="313">
        <v>15</v>
      </c>
      <c r="Q4" s="313">
        <v>16</v>
      </c>
      <c r="R4" s="313">
        <v>17</v>
      </c>
      <c r="S4" s="313">
        <v>18</v>
      </c>
      <c r="T4" s="313">
        <v>19</v>
      </c>
      <c r="U4" s="313">
        <v>20</v>
      </c>
      <c r="V4" s="313">
        <v>21</v>
      </c>
      <c r="W4" s="313">
        <v>22</v>
      </c>
      <c r="X4" s="313">
        <v>23</v>
      </c>
      <c r="Y4" s="313">
        <v>24</v>
      </c>
    </row>
    <row r="5" spans="1:25" ht="13.5" x14ac:dyDescent="0.3">
      <c r="A5" s="209" t="s">
        <v>247</v>
      </c>
      <c r="B5" s="210">
        <f>B14+B6</f>
        <v>42811.44</v>
      </c>
      <c r="C5" s="210">
        <f t="shared" ref="C5:Y5" si="0">C14+C6</f>
        <v>42811.44</v>
      </c>
      <c r="D5" s="210">
        <f t="shared" si="0"/>
        <v>42811.44</v>
      </c>
      <c r="E5" s="210">
        <f t="shared" si="0"/>
        <v>42811.44</v>
      </c>
      <c r="F5" s="210">
        <f t="shared" si="0"/>
        <v>42811.44</v>
      </c>
      <c r="G5" s="210">
        <f t="shared" si="0"/>
        <v>42811.44</v>
      </c>
      <c r="H5" s="210">
        <f t="shared" si="0"/>
        <v>42811.44</v>
      </c>
      <c r="I5" s="210">
        <f t="shared" si="0"/>
        <v>42811.44</v>
      </c>
      <c r="J5" s="210">
        <f t="shared" si="0"/>
        <v>42811.44</v>
      </c>
      <c r="K5" s="210">
        <f t="shared" si="0"/>
        <v>42811.44</v>
      </c>
      <c r="L5" s="210">
        <f t="shared" si="0"/>
        <v>42811.44</v>
      </c>
      <c r="M5" s="210">
        <f>M14+M6</f>
        <v>42811.44</v>
      </c>
      <c r="N5" s="210">
        <f t="shared" si="0"/>
        <v>42811.44</v>
      </c>
      <c r="O5" s="210">
        <f t="shared" si="0"/>
        <v>42811.44</v>
      </c>
      <c r="P5" s="210">
        <f t="shared" si="0"/>
        <v>42811.44</v>
      </c>
      <c r="Q5" s="210">
        <f t="shared" si="0"/>
        <v>42811.44</v>
      </c>
      <c r="R5" s="210">
        <f t="shared" si="0"/>
        <v>42811.44</v>
      </c>
      <c r="S5" s="210">
        <f t="shared" si="0"/>
        <v>42811.44</v>
      </c>
      <c r="T5" s="210">
        <f t="shared" si="0"/>
        <v>42811.44</v>
      </c>
      <c r="U5" s="210">
        <f t="shared" si="0"/>
        <v>42811.44</v>
      </c>
      <c r="V5" s="210">
        <f t="shared" si="0"/>
        <v>42811.44</v>
      </c>
      <c r="W5" s="210">
        <f t="shared" si="0"/>
        <v>42811.44</v>
      </c>
      <c r="X5" s="210">
        <f t="shared" si="0"/>
        <v>42811.44</v>
      </c>
      <c r="Y5" s="210">
        <f t="shared" si="0"/>
        <v>42811.44</v>
      </c>
    </row>
    <row r="6" spans="1:25" ht="13.5" x14ac:dyDescent="0.3">
      <c r="A6" s="211" t="s">
        <v>248</v>
      </c>
      <c r="B6" s="212">
        <f>B7+B10</f>
        <v>41211.440000000002</v>
      </c>
      <c r="C6" s="212">
        <f t="shared" ref="C6:Y6" si="1">C7+C10</f>
        <v>41211.440000000002</v>
      </c>
      <c r="D6" s="212">
        <f t="shared" si="1"/>
        <v>41211.440000000002</v>
      </c>
      <c r="E6" s="212">
        <f t="shared" si="1"/>
        <v>41211.440000000002</v>
      </c>
      <c r="F6" s="212">
        <f t="shared" si="1"/>
        <v>41211.440000000002</v>
      </c>
      <c r="G6" s="212">
        <f t="shared" si="1"/>
        <v>41211.440000000002</v>
      </c>
      <c r="H6" s="212">
        <f t="shared" si="1"/>
        <v>41211.440000000002</v>
      </c>
      <c r="I6" s="212">
        <f t="shared" si="1"/>
        <v>41211.440000000002</v>
      </c>
      <c r="J6" s="212">
        <f t="shared" si="1"/>
        <v>41211.440000000002</v>
      </c>
      <c r="K6" s="212">
        <f t="shared" si="1"/>
        <v>41211.440000000002</v>
      </c>
      <c r="L6" s="212">
        <f t="shared" si="1"/>
        <v>41211.440000000002</v>
      </c>
      <c r="M6" s="212">
        <f t="shared" si="1"/>
        <v>41211.440000000002</v>
      </c>
      <c r="N6" s="212">
        <f t="shared" si="1"/>
        <v>41211.440000000002</v>
      </c>
      <c r="O6" s="212">
        <f t="shared" si="1"/>
        <v>41211.440000000002</v>
      </c>
      <c r="P6" s="212">
        <f t="shared" si="1"/>
        <v>41211.440000000002</v>
      </c>
      <c r="Q6" s="212">
        <f t="shared" si="1"/>
        <v>41211.440000000002</v>
      </c>
      <c r="R6" s="212">
        <f t="shared" si="1"/>
        <v>41211.440000000002</v>
      </c>
      <c r="S6" s="212">
        <f t="shared" si="1"/>
        <v>41211.440000000002</v>
      </c>
      <c r="T6" s="212">
        <f t="shared" si="1"/>
        <v>41211.440000000002</v>
      </c>
      <c r="U6" s="212">
        <f t="shared" si="1"/>
        <v>41211.440000000002</v>
      </c>
      <c r="V6" s="212">
        <f t="shared" si="1"/>
        <v>41211.440000000002</v>
      </c>
      <c r="W6" s="212">
        <f t="shared" si="1"/>
        <v>41211.440000000002</v>
      </c>
      <c r="X6" s="212">
        <f t="shared" si="1"/>
        <v>41211.440000000002</v>
      </c>
      <c r="Y6" s="212">
        <f t="shared" si="1"/>
        <v>41211.440000000002</v>
      </c>
    </row>
    <row r="7" spans="1:25" x14ac:dyDescent="0.25">
      <c r="A7" s="213" t="s">
        <v>249</v>
      </c>
      <c r="B7" s="212">
        <f>B8</f>
        <v>36415.440000000002</v>
      </c>
      <c r="C7" s="212">
        <f>C8</f>
        <v>36415.440000000002</v>
      </c>
      <c r="D7" s="212">
        <f t="shared" ref="D7:Y7" si="2">D8</f>
        <v>36415.440000000002</v>
      </c>
      <c r="E7" s="212">
        <f t="shared" si="2"/>
        <v>36415.440000000002</v>
      </c>
      <c r="F7" s="212">
        <f t="shared" si="2"/>
        <v>36415.440000000002</v>
      </c>
      <c r="G7" s="212">
        <f t="shared" si="2"/>
        <v>36415.440000000002</v>
      </c>
      <c r="H7" s="212">
        <f t="shared" si="2"/>
        <v>36415.440000000002</v>
      </c>
      <c r="I7" s="212">
        <f t="shared" si="2"/>
        <v>36415.440000000002</v>
      </c>
      <c r="J7" s="212">
        <f t="shared" si="2"/>
        <v>36415.440000000002</v>
      </c>
      <c r="K7" s="212">
        <f t="shared" si="2"/>
        <v>36415.440000000002</v>
      </c>
      <c r="L7" s="212">
        <f t="shared" si="2"/>
        <v>36415.440000000002</v>
      </c>
      <c r="M7" s="212">
        <f t="shared" si="2"/>
        <v>36415.440000000002</v>
      </c>
      <c r="N7" s="212">
        <f t="shared" si="2"/>
        <v>36415.440000000002</v>
      </c>
      <c r="O7" s="212">
        <f t="shared" si="2"/>
        <v>36415.440000000002</v>
      </c>
      <c r="P7" s="212">
        <f t="shared" si="2"/>
        <v>36415.440000000002</v>
      </c>
      <c r="Q7" s="212">
        <f t="shared" si="2"/>
        <v>36415.440000000002</v>
      </c>
      <c r="R7" s="212">
        <f t="shared" si="2"/>
        <v>36415.440000000002</v>
      </c>
      <c r="S7" s="212">
        <f t="shared" si="2"/>
        <v>36415.440000000002</v>
      </c>
      <c r="T7" s="212">
        <f t="shared" si="2"/>
        <v>36415.440000000002</v>
      </c>
      <c r="U7" s="212">
        <f t="shared" si="2"/>
        <v>36415.440000000002</v>
      </c>
      <c r="V7" s="212">
        <f t="shared" si="2"/>
        <v>36415.440000000002</v>
      </c>
      <c r="W7" s="212">
        <f t="shared" si="2"/>
        <v>36415.440000000002</v>
      </c>
      <c r="X7" s="212">
        <f t="shared" si="2"/>
        <v>36415.440000000002</v>
      </c>
      <c r="Y7" s="212">
        <f t="shared" si="2"/>
        <v>36415.440000000002</v>
      </c>
    </row>
    <row r="8" spans="1:25" x14ac:dyDescent="0.25">
      <c r="A8" s="213" t="s">
        <v>250</v>
      </c>
      <c r="B8" s="212">
        <f>+'INVERSION TOTAL'!E71</f>
        <v>36415.440000000002</v>
      </c>
      <c r="C8" s="212">
        <f>B8</f>
        <v>36415.440000000002</v>
      </c>
      <c r="D8" s="212">
        <f>C8</f>
        <v>36415.440000000002</v>
      </c>
      <c r="E8" s="212">
        <f t="shared" ref="E8:Y8" si="3">D8</f>
        <v>36415.440000000002</v>
      </c>
      <c r="F8" s="212">
        <f t="shared" si="3"/>
        <v>36415.440000000002</v>
      </c>
      <c r="G8" s="212">
        <f t="shared" si="3"/>
        <v>36415.440000000002</v>
      </c>
      <c r="H8" s="212">
        <f t="shared" si="3"/>
        <v>36415.440000000002</v>
      </c>
      <c r="I8" s="212">
        <f t="shared" si="3"/>
        <v>36415.440000000002</v>
      </c>
      <c r="J8" s="212">
        <f t="shared" si="3"/>
        <v>36415.440000000002</v>
      </c>
      <c r="K8" s="212">
        <f t="shared" si="3"/>
        <v>36415.440000000002</v>
      </c>
      <c r="L8" s="212">
        <f t="shared" si="3"/>
        <v>36415.440000000002</v>
      </c>
      <c r="M8" s="212">
        <f t="shared" si="3"/>
        <v>36415.440000000002</v>
      </c>
      <c r="N8" s="212">
        <f t="shared" si="3"/>
        <v>36415.440000000002</v>
      </c>
      <c r="O8" s="212">
        <f t="shared" si="3"/>
        <v>36415.440000000002</v>
      </c>
      <c r="P8" s="212">
        <f t="shared" si="3"/>
        <v>36415.440000000002</v>
      </c>
      <c r="Q8" s="212">
        <f t="shared" si="3"/>
        <v>36415.440000000002</v>
      </c>
      <c r="R8" s="212">
        <f t="shared" si="3"/>
        <v>36415.440000000002</v>
      </c>
      <c r="S8" s="212">
        <f t="shared" si="3"/>
        <v>36415.440000000002</v>
      </c>
      <c r="T8" s="212">
        <f t="shared" si="3"/>
        <v>36415.440000000002</v>
      </c>
      <c r="U8" s="212">
        <f t="shared" si="3"/>
        <v>36415.440000000002</v>
      </c>
      <c r="V8" s="212">
        <f t="shared" si="3"/>
        <v>36415.440000000002</v>
      </c>
      <c r="W8" s="212">
        <f t="shared" si="3"/>
        <v>36415.440000000002</v>
      </c>
      <c r="X8" s="212">
        <f t="shared" si="3"/>
        <v>36415.440000000002</v>
      </c>
      <c r="Y8" s="212">
        <f t="shared" si="3"/>
        <v>36415.440000000002</v>
      </c>
    </row>
    <row r="9" spans="1:25" x14ac:dyDescent="0.25">
      <c r="A9" s="213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</row>
    <row r="10" spans="1:25" x14ac:dyDescent="0.25">
      <c r="A10" s="213" t="s">
        <v>251</v>
      </c>
      <c r="B10" s="212">
        <f>B11+B12</f>
        <v>4796</v>
      </c>
      <c r="C10" s="212">
        <f t="shared" ref="C10:Y10" si="4">C11+C12</f>
        <v>4796</v>
      </c>
      <c r="D10" s="212">
        <f t="shared" si="4"/>
        <v>4796</v>
      </c>
      <c r="E10" s="212">
        <f t="shared" si="4"/>
        <v>4796</v>
      </c>
      <c r="F10" s="212">
        <f t="shared" si="4"/>
        <v>4796</v>
      </c>
      <c r="G10" s="212">
        <f t="shared" si="4"/>
        <v>4796</v>
      </c>
      <c r="H10" s="212">
        <f t="shared" si="4"/>
        <v>4796</v>
      </c>
      <c r="I10" s="212">
        <f t="shared" si="4"/>
        <v>4796</v>
      </c>
      <c r="J10" s="212">
        <f t="shared" si="4"/>
        <v>4796</v>
      </c>
      <c r="K10" s="212">
        <f t="shared" si="4"/>
        <v>4796</v>
      </c>
      <c r="L10" s="212">
        <f t="shared" si="4"/>
        <v>4796</v>
      </c>
      <c r="M10" s="212">
        <f t="shared" si="4"/>
        <v>4796</v>
      </c>
      <c r="N10" s="212">
        <f t="shared" si="4"/>
        <v>4796</v>
      </c>
      <c r="O10" s="212">
        <f t="shared" si="4"/>
        <v>4796</v>
      </c>
      <c r="P10" s="212">
        <f t="shared" si="4"/>
        <v>4796</v>
      </c>
      <c r="Q10" s="212">
        <f t="shared" si="4"/>
        <v>4796</v>
      </c>
      <c r="R10" s="212">
        <f t="shared" si="4"/>
        <v>4796</v>
      </c>
      <c r="S10" s="212">
        <f t="shared" si="4"/>
        <v>4796</v>
      </c>
      <c r="T10" s="212">
        <f t="shared" si="4"/>
        <v>4796</v>
      </c>
      <c r="U10" s="212">
        <f t="shared" si="4"/>
        <v>4796</v>
      </c>
      <c r="V10" s="212">
        <f t="shared" si="4"/>
        <v>4796</v>
      </c>
      <c r="W10" s="212">
        <f t="shared" si="4"/>
        <v>4796</v>
      </c>
      <c r="X10" s="212">
        <f t="shared" si="4"/>
        <v>4796</v>
      </c>
      <c r="Y10" s="212">
        <f t="shared" si="4"/>
        <v>4796</v>
      </c>
    </row>
    <row r="11" spans="1:25" x14ac:dyDescent="0.25">
      <c r="A11" s="213" t="s">
        <v>252</v>
      </c>
      <c r="B11" s="212">
        <f>+PLANILLA!C26</f>
        <v>4796</v>
      </c>
      <c r="C11" s="212">
        <f>B11</f>
        <v>4796</v>
      </c>
      <c r="D11" s="212">
        <f t="shared" ref="D11:Y11" si="5">C11</f>
        <v>4796</v>
      </c>
      <c r="E11" s="212">
        <f t="shared" si="5"/>
        <v>4796</v>
      </c>
      <c r="F11" s="212">
        <f t="shared" si="5"/>
        <v>4796</v>
      </c>
      <c r="G11" s="212">
        <f t="shared" si="5"/>
        <v>4796</v>
      </c>
      <c r="H11" s="212">
        <f t="shared" si="5"/>
        <v>4796</v>
      </c>
      <c r="I11" s="212">
        <f t="shared" si="5"/>
        <v>4796</v>
      </c>
      <c r="J11" s="212">
        <f t="shared" si="5"/>
        <v>4796</v>
      </c>
      <c r="K11" s="212">
        <f t="shared" si="5"/>
        <v>4796</v>
      </c>
      <c r="L11" s="212">
        <f t="shared" si="5"/>
        <v>4796</v>
      </c>
      <c r="M11" s="212">
        <f t="shared" si="5"/>
        <v>4796</v>
      </c>
      <c r="N11" s="212">
        <f t="shared" si="5"/>
        <v>4796</v>
      </c>
      <c r="O11" s="212">
        <f t="shared" si="5"/>
        <v>4796</v>
      </c>
      <c r="P11" s="212">
        <f t="shared" si="5"/>
        <v>4796</v>
      </c>
      <c r="Q11" s="212">
        <f t="shared" si="5"/>
        <v>4796</v>
      </c>
      <c r="R11" s="212">
        <f t="shared" si="5"/>
        <v>4796</v>
      </c>
      <c r="S11" s="212">
        <f t="shared" si="5"/>
        <v>4796</v>
      </c>
      <c r="T11" s="212">
        <f t="shared" si="5"/>
        <v>4796</v>
      </c>
      <c r="U11" s="212">
        <f t="shared" si="5"/>
        <v>4796</v>
      </c>
      <c r="V11" s="212">
        <f t="shared" si="5"/>
        <v>4796</v>
      </c>
      <c r="W11" s="212">
        <f t="shared" si="5"/>
        <v>4796</v>
      </c>
      <c r="X11" s="212">
        <f t="shared" si="5"/>
        <v>4796</v>
      </c>
      <c r="Y11" s="212">
        <f t="shared" si="5"/>
        <v>4796</v>
      </c>
    </row>
    <row r="12" spans="1:25" x14ac:dyDescent="0.25">
      <c r="A12" s="213" t="s">
        <v>253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</row>
    <row r="13" spans="1:25" x14ac:dyDescent="0.25">
      <c r="A13" s="213"/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</row>
    <row r="14" spans="1:25" ht="13.5" x14ac:dyDescent="0.3">
      <c r="A14" s="211" t="s">
        <v>254</v>
      </c>
      <c r="B14" s="212">
        <f>B15+B16+B17</f>
        <v>1600</v>
      </c>
      <c r="C14" s="212">
        <f t="shared" ref="C14:Y14" si="6">C15+C16</f>
        <v>1600</v>
      </c>
      <c r="D14" s="212">
        <f t="shared" si="6"/>
        <v>1600</v>
      </c>
      <c r="E14" s="212">
        <f t="shared" si="6"/>
        <v>1600</v>
      </c>
      <c r="F14" s="212">
        <f t="shared" si="6"/>
        <v>1600</v>
      </c>
      <c r="G14" s="212">
        <f t="shared" si="6"/>
        <v>1600</v>
      </c>
      <c r="H14" s="212">
        <f t="shared" si="6"/>
        <v>1600</v>
      </c>
      <c r="I14" s="212">
        <f t="shared" si="6"/>
        <v>1600</v>
      </c>
      <c r="J14" s="212">
        <f t="shared" si="6"/>
        <v>1600</v>
      </c>
      <c r="K14" s="212">
        <f t="shared" si="6"/>
        <v>1600</v>
      </c>
      <c r="L14" s="212">
        <f t="shared" si="6"/>
        <v>1600</v>
      </c>
      <c r="M14" s="212">
        <f>M15+M16</f>
        <v>1600</v>
      </c>
      <c r="N14" s="212">
        <f t="shared" si="6"/>
        <v>1600</v>
      </c>
      <c r="O14" s="212">
        <f t="shared" si="6"/>
        <v>1600</v>
      </c>
      <c r="P14" s="212">
        <f t="shared" si="6"/>
        <v>1600</v>
      </c>
      <c r="Q14" s="212">
        <f t="shared" si="6"/>
        <v>1600</v>
      </c>
      <c r="R14" s="212">
        <f t="shared" si="6"/>
        <v>1600</v>
      </c>
      <c r="S14" s="212">
        <f t="shared" si="6"/>
        <v>1600</v>
      </c>
      <c r="T14" s="212">
        <f t="shared" si="6"/>
        <v>1600</v>
      </c>
      <c r="U14" s="212">
        <f t="shared" si="6"/>
        <v>1600</v>
      </c>
      <c r="V14" s="212">
        <f t="shared" si="6"/>
        <v>1600</v>
      </c>
      <c r="W14" s="212">
        <f t="shared" si="6"/>
        <v>1600</v>
      </c>
      <c r="X14" s="212">
        <f t="shared" si="6"/>
        <v>1600</v>
      </c>
      <c r="Y14" s="212">
        <f t="shared" si="6"/>
        <v>1600</v>
      </c>
    </row>
    <row r="15" spans="1:25" x14ac:dyDescent="0.25">
      <c r="A15" s="213" t="s">
        <v>255</v>
      </c>
      <c r="B15" s="212">
        <v>100</v>
      </c>
      <c r="C15" s="212">
        <f>B15</f>
        <v>100</v>
      </c>
      <c r="D15" s="212">
        <f t="shared" ref="D15:Y16" si="7">C15</f>
        <v>100</v>
      </c>
      <c r="E15" s="212">
        <f t="shared" si="7"/>
        <v>100</v>
      </c>
      <c r="F15" s="212">
        <f t="shared" si="7"/>
        <v>100</v>
      </c>
      <c r="G15" s="212">
        <f t="shared" si="7"/>
        <v>100</v>
      </c>
      <c r="H15" s="212">
        <f t="shared" si="7"/>
        <v>100</v>
      </c>
      <c r="I15" s="212">
        <f t="shared" si="7"/>
        <v>100</v>
      </c>
      <c r="J15" s="212">
        <f t="shared" si="7"/>
        <v>100</v>
      </c>
      <c r="K15" s="212">
        <f t="shared" si="7"/>
        <v>100</v>
      </c>
      <c r="L15" s="212">
        <f t="shared" si="7"/>
        <v>100</v>
      </c>
      <c r="M15" s="212">
        <f t="shared" si="7"/>
        <v>100</v>
      </c>
      <c r="N15" s="212">
        <f t="shared" si="7"/>
        <v>100</v>
      </c>
      <c r="O15" s="212">
        <f t="shared" si="7"/>
        <v>100</v>
      </c>
      <c r="P15" s="212">
        <f t="shared" si="7"/>
        <v>100</v>
      </c>
      <c r="Q15" s="212">
        <f t="shared" si="7"/>
        <v>100</v>
      </c>
      <c r="R15" s="212">
        <f t="shared" si="7"/>
        <v>100</v>
      </c>
      <c r="S15" s="212">
        <f t="shared" si="7"/>
        <v>100</v>
      </c>
      <c r="T15" s="212">
        <f t="shared" si="7"/>
        <v>100</v>
      </c>
      <c r="U15" s="212">
        <f t="shared" si="7"/>
        <v>100</v>
      </c>
      <c r="V15" s="212">
        <f t="shared" si="7"/>
        <v>100</v>
      </c>
      <c r="W15" s="212">
        <f t="shared" si="7"/>
        <v>100</v>
      </c>
      <c r="X15" s="212">
        <f t="shared" si="7"/>
        <v>100</v>
      </c>
      <c r="Y15" s="212">
        <f t="shared" si="7"/>
        <v>100</v>
      </c>
    </row>
    <row r="16" spans="1:25" x14ac:dyDescent="0.25">
      <c r="A16" s="213" t="s">
        <v>256</v>
      </c>
      <c r="B16" s="212">
        <f>+'GASTOS INDIRECTOS'!E6</f>
        <v>1500</v>
      </c>
      <c r="C16" s="212">
        <f>B16</f>
        <v>1500</v>
      </c>
      <c r="D16" s="212">
        <f t="shared" si="7"/>
        <v>1500</v>
      </c>
      <c r="E16" s="212">
        <f t="shared" si="7"/>
        <v>1500</v>
      </c>
      <c r="F16" s="212">
        <f t="shared" si="7"/>
        <v>1500</v>
      </c>
      <c r="G16" s="212">
        <f t="shared" si="7"/>
        <v>1500</v>
      </c>
      <c r="H16" s="212">
        <f t="shared" si="7"/>
        <v>1500</v>
      </c>
      <c r="I16" s="212">
        <f t="shared" si="7"/>
        <v>1500</v>
      </c>
      <c r="J16" s="212">
        <f t="shared" si="7"/>
        <v>1500</v>
      </c>
      <c r="K16" s="212">
        <f t="shared" si="7"/>
        <v>1500</v>
      </c>
      <c r="L16" s="212">
        <f t="shared" si="7"/>
        <v>1500</v>
      </c>
      <c r="M16" s="212">
        <f t="shared" si="7"/>
        <v>1500</v>
      </c>
      <c r="N16" s="212">
        <f t="shared" si="7"/>
        <v>1500</v>
      </c>
      <c r="O16" s="212">
        <f t="shared" si="7"/>
        <v>1500</v>
      </c>
      <c r="P16" s="212">
        <f t="shared" si="7"/>
        <v>1500</v>
      </c>
      <c r="Q16" s="212">
        <f t="shared" si="7"/>
        <v>1500</v>
      </c>
      <c r="R16" s="212">
        <f t="shared" si="7"/>
        <v>1500</v>
      </c>
      <c r="S16" s="212">
        <f t="shared" si="7"/>
        <v>1500</v>
      </c>
      <c r="T16" s="212">
        <f t="shared" si="7"/>
        <v>1500</v>
      </c>
      <c r="U16" s="212">
        <f t="shared" si="7"/>
        <v>1500</v>
      </c>
      <c r="V16" s="212">
        <f t="shared" si="7"/>
        <v>1500</v>
      </c>
      <c r="W16" s="212">
        <f t="shared" si="7"/>
        <v>1500</v>
      </c>
      <c r="X16" s="212">
        <f t="shared" si="7"/>
        <v>1500</v>
      </c>
      <c r="Y16" s="212">
        <f t="shared" si="7"/>
        <v>1500</v>
      </c>
    </row>
    <row r="17" spans="1:27" x14ac:dyDescent="0.25">
      <c r="A17" s="214" t="s">
        <v>257</v>
      </c>
      <c r="B17" s="212">
        <v>0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</row>
    <row r="18" spans="1:27" ht="13.5" x14ac:dyDescent="0.3">
      <c r="A18" s="213"/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</row>
    <row r="19" spans="1:27" ht="13.5" x14ac:dyDescent="0.3">
      <c r="A19" s="209" t="s">
        <v>258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</row>
    <row r="20" spans="1:27" ht="13.5" x14ac:dyDescent="0.3">
      <c r="A20" s="211" t="s">
        <v>259</v>
      </c>
      <c r="B20" s="210">
        <f>SUM(B21:B24)</f>
        <v>500</v>
      </c>
      <c r="C20" s="210">
        <f t="shared" ref="C20:Y20" si="8">SUM(C21:C23)</f>
        <v>0</v>
      </c>
      <c r="D20" s="210">
        <f t="shared" si="8"/>
        <v>0</v>
      </c>
      <c r="E20" s="210">
        <f t="shared" si="8"/>
        <v>0</v>
      </c>
      <c r="F20" s="210">
        <f t="shared" si="8"/>
        <v>0</v>
      </c>
      <c r="G20" s="210">
        <f t="shared" si="8"/>
        <v>0</v>
      </c>
      <c r="H20" s="210">
        <f t="shared" si="8"/>
        <v>400</v>
      </c>
      <c r="I20" s="210">
        <f t="shared" si="8"/>
        <v>0</v>
      </c>
      <c r="J20" s="210">
        <f t="shared" si="8"/>
        <v>0</v>
      </c>
      <c r="K20" s="210">
        <f t="shared" si="8"/>
        <v>0</v>
      </c>
      <c r="L20" s="210">
        <f t="shared" si="8"/>
        <v>0</v>
      </c>
      <c r="M20" s="210">
        <f t="shared" si="8"/>
        <v>0</v>
      </c>
      <c r="N20" s="210">
        <f t="shared" si="8"/>
        <v>400</v>
      </c>
      <c r="O20" s="210">
        <f t="shared" si="8"/>
        <v>0</v>
      </c>
      <c r="P20" s="210">
        <f t="shared" si="8"/>
        <v>0</v>
      </c>
      <c r="Q20" s="210">
        <f t="shared" si="8"/>
        <v>0</v>
      </c>
      <c r="R20" s="210">
        <f t="shared" si="8"/>
        <v>0</v>
      </c>
      <c r="S20" s="210">
        <f t="shared" si="8"/>
        <v>0</v>
      </c>
      <c r="T20" s="210">
        <f t="shared" si="8"/>
        <v>400</v>
      </c>
      <c r="U20" s="210">
        <f t="shared" si="8"/>
        <v>0</v>
      </c>
      <c r="V20" s="210">
        <f t="shared" si="8"/>
        <v>0</v>
      </c>
      <c r="W20" s="210">
        <f t="shared" si="8"/>
        <v>0</v>
      </c>
      <c r="X20" s="210">
        <f t="shared" si="8"/>
        <v>0</v>
      </c>
      <c r="Y20" s="210">
        <f t="shared" si="8"/>
        <v>400</v>
      </c>
    </row>
    <row r="21" spans="1:27" x14ac:dyDescent="0.25">
      <c r="A21" s="215" t="s">
        <v>225</v>
      </c>
      <c r="B21" s="212">
        <f>+'GASTOS INDIRECTOS'!E11</f>
        <v>100</v>
      </c>
      <c r="C21" s="212">
        <f>+'GASTOS INDIRECTOS'!F11</f>
        <v>0</v>
      </c>
      <c r="D21" s="212">
        <f>+'GASTOS INDIRECTOS'!G11</f>
        <v>0</v>
      </c>
      <c r="E21" s="212">
        <f>+'GASTOS INDIRECTOS'!H11</f>
        <v>0</v>
      </c>
      <c r="F21" s="212">
        <f>+'GASTOS INDIRECTOS'!I11</f>
        <v>0</v>
      </c>
      <c r="G21" s="212">
        <f>+'GASTOS INDIRECTOS'!J11</f>
        <v>0</v>
      </c>
      <c r="H21" s="212">
        <f>'GASTOS INDIRECTOS'!E11</f>
        <v>100</v>
      </c>
      <c r="I21" s="212">
        <f>+'GASTOS INDIRECTOS'!L11</f>
        <v>0</v>
      </c>
      <c r="J21" s="212">
        <f>+'GASTOS INDIRECTOS'!M11</f>
        <v>0</v>
      </c>
      <c r="K21" s="212">
        <f>+'GASTOS INDIRECTOS'!N11</f>
        <v>0</v>
      </c>
      <c r="L21" s="212">
        <f>+'GASTOS INDIRECTOS'!O11</f>
        <v>0</v>
      </c>
      <c r="M21" s="212">
        <f>+'GASTOS INDIRECTOS'!P11</f>
        <v>0</v>
      </c>
      <c r="N21" s="212">
        <f>'GASTOS INDIRECTOS'!E11</f>
        <v>100</v>
      </c>
      <c r="O21" s="212">
        <f>+'GASTOS INDIRECTOS'!R11</f>
        <v>0</v>
      </c>
      <c r="P21" s="212">
        <f>+'GASTOS INDIRECTOS'!S11</f>
        <v>0</v>
      </c>
      <c r="Q21" s="212">
        <f>+'GASTOS INDIRECTOS'!T11</f>
        <v>0</v>
      </c>
      <c r="R21" s="212">
        <f>+'GASTOS INDIRECTOS'!U11</f>
        <v>0</v>
      </c>
      <c r="S21" s="212">
        <f>+'GASTOS INDIRECTOS'!V11</f>
        <v>0</v>
      </c>
      <c r="T21" s="212">
        <f>'GASTOS INDIRECTOS'!E11</f>
        <v>100</v>
      </c>
      <c r="U21" s="212">
        <f>+'GASTOS INDIRECTOS'!X11</f>
        <v>0</v>
      </c>
      <c r="V21" s="212">
        <f>+'GASTOS INDIRECTOS'!Y11</f>
        <v>0</v>
      </c>
      <c r="W21" s="212">
        <f>+'GASTOS INDIRECTOS'!Z11</f>
        <v>0</v>
      </c>
      <c r="X21" s="212">
        <f>+'GASTOS INDIRECTOS'!AA11</f>
        <v>0</v>
      </c>
      <c r="Y21" s="212">
        <f>'GASTOS INDIRECTOS'!E11</f>
        <v>100</v>
      </c>
    </row>
    <row r="22" spans="1:27" x14ac:dyDescent="0.25">
      <c r="A22" s="215" t="s">
        <v>227</v>
      </c>
      <c r="B22" s="212">
        <f>+'GASTOS INDIRECTOS'!E12</f>
        <v>180</v>
      </c>
      <c r="C22" s="212">
        <f>+'GASTOS INDIRECTOS'!F12</f>
        <v>0</v>
      </c>
      <c r="D22" s="212">
        <f>+'GASTOS INDIRECTOS'!G12</f>
        <v>0</v>
      </c>
      <c r="E22" s="212">
        <f>+'GASTOS INDIRECTOS'!H12</f>
        <v>0</v>
      </c>
      <c r="F22" s="212">
        <f>+'GASTOS INDIRECTOS'!I12</f>
        <v>0</v>
      </c>
      <c r="G22" s="212">
        <f>+'GASTOS INDIRECTOS'!J12</f>
        <v>0</v>
      </c>
      <c r="H22" s="212">
        <f>'GASTOS INDIRECTOS'!E12</f>
        <v>180</v>
      </c>
      <c r="I22" s="212">
        <f>+'GASTOS INDIRECTOS'!L12</f>
        <v>0</v>
      </c>
      <c r="J22" s="212">
        <f>+'GASTOS INDIRECTOS'!M12</f>
        <v>0</v>
      </c>
      <c r="K22" s="212">
        <f>+'GASTOS INDIRECTOS'!N12</f>
        <v>0</v>
      </c>
      <c r="L22" s="212">
        <f>+'GASTOS INDIRECTOS'!O12</f>
        <v>0</v>
      </c>
      <c r="M22" s="212">
        <f>+'GASTOS INDIRECTOS'!P12</f>
        <v>0</v>
      </c>
      <c r="N22" s="212">
        <f>'GASTOS INDIRECTOS'!E12</f>
        <v>180</v>
      </c>
      <c r="O22" s="212">
        <f>+'GASTOS INDIRECTOS'!R12</f>
        <v>0</v>
      </c>
      <c r="P22" s="212">
        <f>+'GASTOS INDIRECTOS'!S12</f>
        <v>0</v>
      </c>
      <c r="Q22" s="212">
        <f>+'GASTOS INDIRECTOS'!T12</f>
        <v>0</v>
      </c>
      <c r="R22" s="212">
        <f>+'GASTOS INDIRECTOS'!U12</f>
        <v>0</v>
      </c>
      <c r="S22" s="212">
        <f>+'GASTOS INDIRECTOS'!V12</f>
        <v>0</v>
      </c>
      <c r="T22" s="212">
        <f>'GASTOS INDIRECTOS'!E12</f>
        <v>180</v>
      </c>
      <c r="U22" s="212">
        <f>+'GASTOS INDIRECTOS'!X12</f>
        <v>0</v>
      </c>
      <c r="V22" s="212">
        <f>+'GASTOS INDIRECTOS'!Y12</f>
        <v>0</v>
      </c>
      <c r="W22" s="212">
        <f>+'GASTOS INDIRECTOS'!Z12</f>
        <v>0</v>
      </c>
      <c r="X22" s="212">
        <f>+'GASTOS INDIRECTOS'!AA12</f>
        <v>0</v>
      </c>
      <c r="Y22" s="212">
        <f>'GASTOS INDIRECTOS'!E12</f>
        <v>180</v>
      </c>
    </row>
    <row r="23" spans="1:27" x14ac:dyDescent="0.25">
      <c r="A23" s="215" t="s">
        <v>260</v>
      </c>
      <c r="B23" s="212">
        <f>+'GASTOS INDIRECTOS'!E13</f>
        <v>120</v>
      </c>
      <c r="C23" s="212">
        <f>+'GASTOS INDIRECTOS'!F13</f>
        <v>0</v>
      </c>
      <c r="D23" s="212">
        <f>+'GASTOS INDIRECTOS'!G13</f>
        <v>0</v>
      </c>
      <c r="E23" s="212">
        <f>+'GASTOS INDIRECTOS'!H13</f>
        <v>0</v>
      </c>
      <c r="F23" s="212">
        <f>+'GASTOS INDIRECTOS'!I13</f>
        <v>0</v>
      </c>
      <c r="G23" s="212">
        <f>+'GASTOS INDIRECTOS'!J13</f>
        <v>0</v>
      </c>
      <c r="H23" s="212">
        <f>'GASTOS INDIRECTOS'!E13</f>
        <v>120</v>
      </c>
      <c r="I23" s="212">
        <f>+'GASTOS INDIRECTOS'!L13</f>
        <v>0</v>
      </c>
      <c r="J23" s="212">
        <f>+'GASTOS INDIRECTOS'!M13</f>
        <v>0</v>
      </c>
      <c r="K23" s="212">
        <f>+'GASTOS INDIRECTOS'!N13</f>
        <v>0</v>
      </c>
      <c r="L23" s="212">
        <f>+'GASTOS INDIRECTOS'!O13</f>
        <v>0</v>
      </c>
      <c r="M23" s="212">
        <f>+'GASTOS INDIRECTOS'!P13</f>
        <v>0</v>
      </c>
      <c r="N23" s="212">
        <f>'GASTOS INDIRECTOS'!E13</f>
        <v>120</v>
      </c>
      <c r="O23" s="212">
        <f>+'GASTOS INDIRECTOS'!R13</f>
        <v>0</v>
      </c>
      <c r="P23" s="212">
        <f>+'GASTOS INDIRECTOS'!S13</f>
        <v>0</v>
      </c>
      <c r="Q23" s="212">
        <f>+'GASTOS INDIRECTOS'!T13</f>
        <v>0</v>
      </c>
      <c r="R23" s="212">
        <f>+'GASTOS INDIRECTOS'!U13</f>
        <v>0</v>
      </c>
      <c r="S23" s="212">
        <f>+'GASTOS INDIRECTOS'!V13</f>
        <v>0</v>
      </c>
      <c r="T23" s="212">
        <f>'GASTOS INDIRECTOS'!E13</f>
        <v>120</v>
      </c>
      <c r="U23" s="212">
        <f>+'GASTOS INDIRECTOS'!X13</f>
        <v>0</v>
      </c>
      <c r="V23" s="212">
        <f>+'GASTOS INDIRECTOS'!Y13</f>
        <v>0</v>
      </c>
      <c r="W23" s="212">
        <f>+'GASTOS INDIRECTOS'!Z13</f>
        <v>0</v>
      </c>
      <c r="X23" s="212">
        <f>+'GASTOS INDIRECTOS'!AA13</f>
        <v>0</v>
      </c>
      <c r="Y23" s="212">
        <f>'GASTOS INDIRECTOS'!E13</f>
        <v>120</v>
      </c>
    </row>
    <row r="24" spans="1:27" ht="25.5" x14ac:dyDescent="0.25">
      <c r="A24" s="214" t="s">
        <v>261</v>
      </c>
      <c r="B24" s="212">
        <f>+'GASTOS INDIRECTOS'!E14</f>
        <v>100</v>
      </c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</row>
    <row r="25" spans="1:27" x14ac:dyDescent="0.25">
      <c r="A25" s="213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</row>
    <row r="26" spans="1:27" ht="13.5" x14ac:dyDescent="0.3">
      <c r="A26" s="211" t="s">
        <v>262</v>
      </c>
      <c r="B26" s="210">
        <f>B27+B28+B29</f>
        <v>6771.95</v>
      </c>
      <c r="C26" s="210">
        <f t="shared" ref="C26:Y26" si="9">C27+C28+C29</f>
        <v>6771.95</v>
      </c>
      <c r="D26" s="210">
        <f t="shared" si="9"/>
        <v>6771.95</v>
      </c>
      <c r="E26" s="210">
        <f t="shared" si="9"/>
        <v>6771.95</v>
      </c>
      <c r="F26" s="210">
        <f t="shared" si="9"/>
        <v>6771.95</v>
      </c>
      <c r="G26" s="210">
        <f t="shared" si="9"/>
        <v>6771.95</v>
      </c>
      <c r="H26" s="210">
        <f t="shared" si="9"/>
        <v>6771.95</v>
      </c>
      <c r="I26" s="210">
        <f t="shared" si="9"/>
        <v>6771.95</v>
      </c>
      <c r="J26" s="210">
        <f t="shared" si="9"/>
        <v>6771.95</v>
      </c>
      <c r="K26" s="210">
        <f t="shared" si="9"/>
        <v>6771.95</v>
      </c>
      <c r="L26" s="210">
        <f t="shared" si="9"/>
        <v>6771.95</v>
      </c>
      <c r="M26" s="210">
        <f t="shared" si="9"/>
        <v>6771.95</v>
      </c>
      <c r="N26" s="210">
        <f t="shared" si="9"/>
        <v>6771.95</v>
      </c>
      <c r="O26" s="210">
        <f t="shared" si="9"/>
        <v>6771.95</v>
      </c>
      <c r="P26" s="210">
        <f t="shared" si="9"/>
        <v>6771.95</v>
      </c>
      <c r="Q26" s="210">
        <f t="shared" si="9"/>
        <v>6771.95</v>
      </c>
      <c r="R26" s="210">
        <f t="shared" si="9"/>
        <v>6771.95</v>
      </c>
      <c r="S26" s="210">
        <f t="shared" si="9"/>
        <v>6771.95</v>
      </c>
      <c r="T26" s="210">
        <f t="shared" si="9"/>
        <v>6771.95</v>
      </c>
      <c r="U26" s="210">
        <f t="shared" si="9"/>
        <v>6771.95</v>
      </c>
      <c r="V26" s="210">
        <f t="shared" si="9"/>
        <v>6771.95</v>
      </c>
      <c r="W26" s="210">
        <f t="shared" si="9"/>
        <v>6771.95</v>
      </c>
      <c r="X26" s="210">
        <f t="shared" si="9"/>
        <v>6771.95</v>
      </c>
      <c r="Y26" s="210">
        <f t="shared" si="9"/>
        <v>6771.95</v>
      </c>
    </row>
    <row r="27" spans="1:27" x14ac:dyDescent="0.25">
      <c r="A27" s="213" t="s">
        <v>263</v>
      </c>
      <c r="B27" s="212">
        <f>PLANILLA!C28</f>
        <v>6104</v>
      </c>
      <c r="C27" s="212">
        <f>B27</f>
        <v>6104</v>
      </c>
      <c r="D27" s="212">
        <f t="shared" ref="D27:Y27" si="10">C27</f>
        <v>6104</v>
      </c>
      <c r="E27" s="212">
        <f t="shared" si="10"/>
        <v>6104</v>
      </c>
      <c r="F27" s="212">
        <f t="shared" si="10"/>
        <v>6104</v>
      </c>
      <c r="G27" s="212">
        <f t="shared" si="10"/>
        <v>6104</v>
      </c>
      <c r="H27" s="212">
        <f t="shared" si="10"/>
        <v>6104</v>
      </c>
      <c r="I27" s="212">
        <f t="shared" si="10"/>
        <v>6104</v>
      </c>
      <c r="J27" s="212">
        <f t="shared" si="10"/>
        <v>6104</v>
      </c>
      <c r="K27" s="212">
        <f t="shared" si="10"/>
        <v>6104</v>
      </c>
      <c r="L27" s="212">
        <f t="shared" si="10"/>
        <v>6104</v>
      </c>
      <c r="M27" s="212">
        <f t="shared" si="10"/>
        <v>6104</v>
      </c>
      <c r="N27" s="212">
        <f t="shared" si="10"/>
        <v>6104</v>
      </c>
      <c r="O27" s="212">
        <f t="shared" si="10"/>
        <v>6104</v>
      </c>
      <c r="P27" s="212">
        <f t="shared" si="10"/>
        <v>6104</v>
      </c>
      <c r="Q27" s="212">
        <f t="shared" si="10"/>
        <v>6104</v>
      </c>
      <c r="R27" s="212">
        <f t="shared" si="10"/>
        <v>6104</v>
      </c>
      <c r="S27" s="212">
        <f t="shared" si="10"/>
        <v>6104</v>
      </c>
      <c r="T27" s="212">
        <f t="shared" si="10"/>
        <v>6104</v>
      </c>
      <c r="U27" s="212">
        <f t="shared" si="10"/>
        <v>6104</v>
      </c>
      <c r="V27" s="212">
        <f t="shared" si="10"/>
        <v>6104</v>
      </c>
      <c r="W27" s="212">
        <f t="shared" si="10"/>
        <v>6104</v>
      </c>
      <c r="X27" s="212">
        <f t="shared" si="10"/>
        <v>6104</v>
      </c>
      <c r="Y27" s="212">
        <f t="shared" si="10"/>
        <v>6104</v>
      </c>
    </row>
    <row r="28" spans="1:27" x14ac:dyDescent="0.25">
      <c r="A28" s="213" t="s">
        <v>253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</row>
    <row r="29" spans="1:27" x14ac:dyDescent="0.25">
      <c r="A29" s="213" t="s">
        <v>264</v>
      </c>
      <c r="B29" s="212">
        <f>+'DEPRECIACION DE EQUIPOS'!G44</f>
        <v>667.94999999999993</v>
      </c>
      <c r="C29" s="212">
        <f>B29</f>
        <v>667.94999999999993</v>
      </c>
      <c r="D29" s="212">
        <f t="shared" ref="D29:Y29" si="11">C29</f>
        <v>667.94999999999993</v>
      </c>
      <c r="E29" s="212">
        <f t="shared" si="11"/>
        <v>667.94999999999993</v>
      </c>
      <c r="F29" s="212">
        <f t="shared" si="11"/>
        <v>667.94999999999993</v>
      </c>
      <c r="G29" s="212">
        <f t="shared" si="11"/>
        <v>667.94999999999993</v>
      </c>
      <c r="H29" s="212">
        <f t="shared" si="11"/>
        <v>667.94999999999993</v>
      </c>
      <c r="I29" s="212">
        <f t="shared" si="11"/>
        <v>667.94999999999993</v>
      </c>
      <c r="J29" s="212">
        <f t="shared" si="11"/>
        <v>667.94999999999993</v>
      </c>
      <c r="K29" s="212">
        <f t="shared" si="11"/>
        <v>667.94999999999993</v>
      </c>
      <c r="L29" s="212">
        <f t="shared" si="11"/>
        <v>667.94999999999993</v>
      </c>
      <c r="M29" s="212">
        <f t="shared" si="11"/>
        <v>667.94999999999993</v>
      </c>
      <c r="N29" s="212">
        <f t="shared" si="11"/>
        <v>667.94999999999993</v>
      </c>
      <c r="O29" s="212">
        <f t="shared" si="11"/>
        <v>667.94999999999993</v>
      </c>
      <c r="P29" s="212">
        <f t="shared" si="11"/>
        <v>667.94999999999993</v>
      </c>
      <c r="Q29" s="212">
        <f t="shared" si="11"/>
        <v>667.94999999999993</v>
      </c>
      <c r="R29" s="212">
        <f t="shared" si="11"/>
        <v>667.94999999999993</v>
      </c>
      <c r="S29" s="212">
        <f t="shared" si="11"/>
        <v>667.94999999999993</v>
      </c>
      <c r="T29" s="212">
        <f t="shared" si="11"/>
        <v>667.94999999999993</v>
      </c>
      <c r="U29" s="212">
        <f t="shared" si="11"/>
        <v>667.94999999999993</v>
      </c>
      <c r="V29" s="212">
        <f t="shared" si="11"/>
        <v>667.94999999999993</v>
      </c>
      <c r="W29" s="212">
        <f t="shared" si="11"/>
        <v>667.94999999999993</v>
      </c>
      <c r="X29" s="212">
        <f t="shared" si="11"/>
        <v>667.94999999999993</v>
      </c>
      <c r="Y29" s="212">
        <f t="shared" si="11"/>
        <v>667.94999999999993</v>
      </c>
    </row>
    <row r="31" spans="1:27" x14ac:dyDescent="0.25"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</row>
    <row r="32" spans="1:27" x14ac:dyDescent="0.25"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</row>
    <row r="33" spans="2:15" x14ac:dyDescent="0.25">
      <c r="B33" s="216"/>
      <c r="O33" s="216"/>
    </row>
    <row r="34" spans="2:15" x14ac:dyDescent="0.25">
      <c r="B34" s="216"/>
      <c r="O34" s="216"/>
    </row>
    <row r="35" spans="2:15" x14ac:dyDescent="0.25">
      <c r="B35" s="216"/>
      <c r="O35" s="216"/>
    </row>
    <row r="36" spans="2:15" x14ac:dyDescent="0.25">
      <c r="B36" s="216"/>
      <c r="O36" s="216"/>
    </row>
    <row r="37" spans="2:15" x14ac:dyDescent="0.25">
      <c r="B37" s="216"/>
      <c r="O37" s="216"/>
    </row>
    <row r="38" spans="2:15" x14ac:dyDescent="0.25">
      <c r="B38" s="216"/>
      <c r="O38" s="216"/>
    </row>
    <row r="39" spans="2:15" x14ac:dyDescent="0.25">
      <c r="B39" s="216"/>
      <c r="O39" s="216"/>
    </row>
    <row r="40" spans="2:15" x14ac:dyDescent="0.25">
      <c r="B40" s="216"/>
      <c r="O40" s="216"/>
    </row>
    <row r="41" spans="2:15" x14ac:dyDescent="0.25">
      <c r="B41" s="216"/>
      <c r="O41" s="216"/>
    </row>
    <row r="42" spans="2:15" x14ac:dyDescent="0.25">
      <c r="B42" s="216"/>
      <c r="O42" s="216"/>
    </row>
    <row r="43" spans="2:15" x14ac:dyDescent="0.25">
      <c r="B43" s="216"/>
      <c r="O43" s="216"/>
    </row>
    <row r="44" spans="2:15" x14ac:dyDescent="0.25">
      <c r="B44" s="216"/>
      <c r="O44" s="216"/>
    </row>
  </sheetData>
  <mergeCells count="1">
    <mergeCell ref="A2:O2"/>
  </mergeCells>
  <hyperlinks>
    <hyperlink ref="A1" location="INDICE!A1" display="INDICE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</sheetPr>
  <dimension ref="A1:Y19"/>
  <sheetViews>
    <sheetView workbookViewId="0"/>
  </sheetViews>
  <sheetFormatPr baseColWidth="10" defaultRowHeight="12" customHeight="1" x14ac:dyDescent="0.25"/>
  <cols>
    <col min="1" max="1" width="28.625" style="1" customWidth="1"/>
    <col min="2" max="25" width="11.25" style="1" customWidth="1"/>
    <col min="26" max="16384" width="11" style="1"/>
  </cols>
  <sheetData>
    <row r="1" spans="1:25" ht="16.5" x14ac:dyDescent="0.3">
      <c r="A1" s="514" t="s">
        <v>464</v>
      </c>
    </row>
    <row r="2" spans="1:25" ht="21" x14ac:dyDescent="0.35">
      <c r="A2" s="605" t="s">
        <v>265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217"/>
      <c r="Q2" s="217"/>
      <c r="R2" s="217"/>
      <c r="S2" s="217"/>
      <c r="T2" s="217"/>
      <c r="U2" s="217"/>
      <c r="V2" s="217"/>
      <c r="W2" s="217"/>
      <c r="X2" s="217"/>
      <c r="Y2" s="217"/>
    </row>
    <row r="3" spans="1:25" ht="13.5" x14ac:dyDescent="0.3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</row>
    <row r="4" spans="1:25" ht="13.5" x14ac:dyDescent="0.25">
      <c r="A4" s="313" t="s">
        <v>203</v>
      </c>
      <c r="B4" s="313">
        <v>1</v>
      </c>
      <c r="C4" s="313">
        <v>2</v>
      </c>
      <c r="D4" s="313">
        <v>3</v>
      </c>
      <c r="E4" s="313">
        <v>4</v>
      </c>
      <c r="F4" s="313">
        <v>5</v>
      </c>
      <c r="G4" s="313">
        <v>6</v>
      </c>
      <c r="H4" s="313">
        <v>7</v>
      </c>
      <c r="I4" s="313">
        <v>8</v>
      </c>
      <c r="J4" s="313">
        <v>9</v>
      </c>
      <c r="K4" s="313">
        <v>10</v>
      </c>
      <c r="L4" s="313">
        <v>11</v>
      </c>
      <c r="M4" s="313">
        <v>12</v>
      </c>
      <c r="N4" s="313">
        <v>13</v>
      </c>
      <c r="O4" s="313">
        <v>14</v>
      </c>
      <c r="P4" s="313">
        <v>15</v>
      </c>
      <c r="Q4" s="313">
        <v>16</v>
      </c>
      <c r="R4" s="313">
        <v>17</v>
      </c>
      <c r="S4" s="313">
        <v>18</v>
      </c>
      <c r="T4" s="313">
        <v>19</v>
      </c>
      <c r="U4" s="313">
        <v>20</v>
      </c>
      <c r="V4" s="313">
        <v>21</v>
      </c>
      <c r="W4" s="313">
        <v>22</v>
      </c>
      <c r="X4" s="313">
        <v>23</v>
      </c>
      <c r="Y4" s="313">
        <v>24</v>
      </c>
    </row>
    <row r="5" spans="1:25" ht="13.5" x14ac:dyDescent="0.3">
      <c r="A5" s="218" t="s">
        <v>266</v>
      </c>
      <c r="B5" s="219">
        <f>+'INGRESOS POR VENTA'!E46</f>
        <v>55475</v>
      </c>
      <c r="C5" s="219">
        <f>+'INGRESOS POR VENTA'!F46</f>
        <v>55920</v>
      </c>
      <c r="D5" s="219">
        <f>+'INGRESOS POR VENTA'!G46</f>
        <v>55983</v>
      </c>
      <c r="E5" s="219">
        <f>+'INGRESOS POR VENTA'!H46</f>
        <v>56161</v>
      </c>
      <c r="F5" s="219">
        <f>+'INGRESOS POR VENTA'!I46</f>
        <v>56166</v>
      </c>
      <c r="G5" s="219">
        <f>+'INGRESOS POR VENTA'!J46</f>
        <v>55998</v>
      </c>
      <c r="H5" s="219">
        <f>+'INGRESOS POR VENTA'!K46</f>
        <v>57109</v>
      </c>
      <c r="I5" s="219">
        <f>+'INGRESOS POR VENTA'!L46</f>
        <v>55920</v>
      </c>
      <c r="J5" s="219">
        <f>+'INGRESOS POR VENTA'!M46</f>
        <v>55983</v>
      </c>
      <c r="K5" s="219">
        <f>+'INGRESOS POR VENTA'!N46</f>
        <v>56161</v>
      </c>
      <c r="L5" s="219">
        <f>+'INGRESOS POR VENTA'!O46</f>
        <v>56166</v>
      </c>
      <c r="M5" s="219">
        <f>+'INGRESOS POR VENTA'!P46</f>
        <v>57109</v>
      </c>
      <c r="N5" s="219">
        <f>+'INGRESOS POR VENTA'!Q46</f>
        <v>55920</v>
      </c>
      <c r="O5" s="219">
        <f>+'INGRESOS POR VENTA'!R46</f>
        <v>55983</v>
      </c>
      <c r="P5" s="219">
        <f>+'INGRESOS POR VENTA'!S46</f>
        <v>56161</v>
      </c>
      <c r="Q5" s="219">
        <f>+'INGRESOS POR VENTA'!T46</f>
        <v>56166</v>
      </c>
      <c r="R5" s="219">
        <f>+'INGRESOS POR VENTA'!U46</f>
        <v>55998</v>
      </c>
      <c r="S5" s="219">
        <f>+'INGRESOS POR VENTA'!V46</f>
        <v>57109</v>
      </c>
      <c r="T5" s="219">
        <f>+'INGRESOS POR VENTA'!W46</f>
        <v>57109</v>
      </c>
      <c r="U5" s="219">
        <f>+'INGRESOS POR VENTA'!X46</f>
        <v>55983</v>
      </c>
      <c r="V5" s="219">
        <f>+'INGRESOS POR VENTA'!Y46</f>
        <v>56161</v>
      </c>
      <c r="W5" s="219">
        <f>+'INGRESOS POR VENTA'!Z46</f>
        <v>56166</v>
      </c>
      <c r="X5" s="219">
        <f>+'INGRESOS POR VENTA'!AA46</f>
        <v>55998</v>
      </c>
      <c r="Y5" s="219">
        <f>+'INGRESOS POR VENTA'!AB46</f>
        <v>57109</v>
      </c>
    </row>
    <row r="6" spans="1:25" ht="13.5" x14ac:dyDescent="0.3">
      <c r="A6" s="218" t="s">
        <v>267</v>
      </c>
      <c r="B6" s="220">
        <f>B7+B8+B9+B10+B11+B12</f>
        <v>50083.39</v>
      </c>
      <c r="C6" s="220">
        <f t="shared" ref="C6:Y6" si="0">C7+C8+C9+C10+C11+C12</f>
        <v>49583.39</v>
      </c>
      <c r="D6" s="220">
        <f t="shared" si="0"/>
        <v>49583.39</v>
      </c>
      <c r="E6" s="220">
        <f t="shared" si="0"/>
        <v>49583.39</v>
      </c>
      <c r="F6" s="220">
        <f t="shared" si="0"/>
        <v>49583.39</v>
      </c>
      <c r="G6" s="220">
        <f t="shared" si="0"/>
        <v>49583.39</v>
      </c>
      <c r="H6" s="220">
        <f t="shared" si="0"/>
        <v>49983.39</v>
      </c>
      <c r="I6" s="220">
        <f t="shared" si="0"/>
        <v>49583.39</v>
      </c>
      <c r="J6" s="220">
        <f t="shared" si="0"/>
        <v>49583.39</v>
      </c>
      <c r="K6" s="220">
        <f t="shared" si="0"/>
        <v>49583.39</v>
      </c>
      <c r="L6" s="220">
        <f t="shared" si="0"/>
        <v>49583.39</v>
      </c>
      <c r="M6" s="220">
        <f t="shared" si="0"/>
        <v>49583.39</v>
      </c>
      <c r="N6" s="220">
        <f t="shared" si="0"/>
        <v>49983.39</v>
      </c>
      <c r="O6" s="220">
        <f t="shared" si="0"/>
        <v>49583.39</v>
      </c>
      <c r="P6" s="220">
        <f t="shared" si="0"/>
        <v>49583.39</v>
      </c>
      <c r="Q6" s="220">
        <f t="shared" si="0"/>
        <v>49583.39</v>
      </c>
      <c r="R6" s="220">
        <f t="shared" si="0"/>
        <v>49583.39</v>
      </c>
      <c r="S6" s="220">
        <f t="shared" si="0"/>
        <v>49583.39</v>
      </c>
      <c r="T6" s="220">
        <f t="shared" si="0"/>
        <v>49983.39</v>
      </c>
      <c r="U6" s="220">
        <f t="shared" si="0"/>
        <v>49583.39</v>
      </c>
      <c r="V6" s="220">
        <f t="shared" si="0"/>
        <v>49583.39</v>
      </c>
      <c r="W6" s="220">
        <f t="shared" si="0"/>
        <v>49583.39</v>
      </c>
      <c r="X6" s="220">
        <f t="shared" si="0"/>
        <v>49583.39</v>
      </c>
      <c r="Y6" s="220">
        <f t="shared" si="0"/>
        <v>49983.39</v>
      </c>
    </row>
    <row r="7" spans="1:25" ht="12.75" x14ac:dyDescent="0.25">
      <c r="A7" s="221" t="s">
        <v>268</v>
      </c>
      <c r="B7" s="222">
        <f>+'PRESUPUESTO DE GASTOS'!B10</f>
        <v>4796</v>
      </c>
      <c r="C7" s="222">
        <f>+'PRESUPUESTO DE GASTOS'!C10</f>
        <v>4796</v>
      </c>
      <c r="D7" s="222">
        <f>+'PRESUPUESTO DE GASTOS'!D10</f>
        <v>4796</v>
      </c>
      <c r="E7" s="222">
        <f>+'PRESUPUESTO DE GASTOS'!E10</f>
        <v>4796</v>
      </c>
      <c r="F7" s="222">
        <f>+'PRESUPUESTO DE GASTOS'!F10</f>
        <v>4796</v>
      </c>
      <c r="G7" s="222">
        <f>+'PRESUPUESTO DE GASTOS'!G10</f>
        <v>4796</v>
      </c>
      <c r="H7" s="222">
        <f>+'PRESUPUESTO DE GASTOS'!H10</f>
        <v>4796</v>
      </c>
      <c r="I7" s="222">
        <f>+'PRESUPUESTO DE GASTOS'!I10</f>
        <v>4796</v>
      </c>
      <c r="J7" s="222">
        <f>+'PRESUPUESTO DE GASTOS'!J10</f>
        <v>4796</v>
      </c>
      <c r="K7" s="222">
        <f>+'PRESUPUESTO DE GASTOS'!K10</f>
        <v>4796</v>
      </c>
      <c r="L7" s="222">
        <f>+'PRESUPUESTO DE GASTOS'!L10</f>
        <v>4796</v>
      </c>
      <c r="M7" s="222">
        <f>+'PRESUPUESTO DE GASTOS'!M10</f>
        <v>4796</v>
      </c>
      <c r="N7" s="222">
        <f>+'PRESUPUESTO DE GASTOS'!N10</f>
        <v>4796</v>
      </c>
      <c r="O7" s="222">
        <f>+'PRESUPUESTO DE GASTOS'!O10</f>
        <v>4796</v>
      </c>
      <c r="P7" s="222">
        <f>+'PRESUPUESTO DE GASTOS'!P10</f>
        <v>4796</v>
      </c>
      <c r="Q7" s="222">
        <f>+'PRESUPUESTO DE GASTOS'!Q10</f>
        <v>4796</v>
      </c>
      <c r="R7" s="222">
        <f>+'PRESUPUESTO DE GASTOS'!R10</f>
        <v>4796</v>
      </c>
      <c r="S7" s="222">
        <f>+'PRESUPUESTO DE GASTOS'!S10</f>
        <v>4796</v>
      </c>
      <c r="T7" s="222">
        <f>+'PRESUPUESTO DE GASTOS'!T10</f>
        <v>4796</v>
      </c>
      <c r="U7" s="222">
        <f>+'PRESUPUESTO DE GASTOS'!U10</f>
        <v>4796</v>
      </c>
      <c r="V7" s="222">
        <f>+'PRESUPUESTO DE GASTOS'!V10</f>
        <v>4796</v>
      </c>
      <c r="W7" s="222">
        <f>+'PRESUPUESTO DE GASTOS'!W10</f>
        <v>4796</v>
      </c>
      <c r="X7" s="222">
        <f>+'PRESUPUESTO DE GASTOS'!X10</f>
        <v>4796</v>
      </c>
      <c r="Y7" s="222">
        <f>+'PRESUPUESTO DE GASTOS'!Y10</f>
        <v>4796</v>
      </c>
    </row>
    <row r="8" spans="1:25" ht="12.75" x14ac:dyDescent="0.25">
      <c r="A8" s="221" t="s">
        <v>269</v>
      </c>
      <c r="B8" s="222">
        <f>+'PRESUPUESTO DE GASTOS'!B8</f>
        <v>36415.440000000002</v>
      </c>
      <c r="C8" s="222">
        <f>+'PRESUPUESTO DE GASTOS'!C8</f>
        <v>36415.440000000002</v>
      </c>
      <c r="D8" s="222">
        <f>+'PRESUPUESTO DE GASTOS'!D8</f>
        <v>36415.440000000002</v>
      </c>
      <c r="E8" s="222">
        <f>+'PRESUPUESTO DE GASTOS'!E8</f>
        <v>36415.440000000002</v>
      </c>
      <c r="F8" s="222">
        <f>+'PRESUPUESTO DE GASTOS'!F8</f>
        <v>36415.440000000002</v>
      </c>
      <c r="G8" s="222">
        <f>+'PRESUPUESTO DE GASTOS'!G8</f>
        <v>36415.440000000002</v>
      </c>
      <c r="H8" s="222">
        <f>+'PRESUPUESTO DE GASTOS'!H8</f>
        <v>36415.440000000002</v>
      </c>
      <c r="I8" s="222">
        <f>+'PRESUPUESTO DE GASTOS'!I8</f>
        <v>36415.440000000002</v>
      </c>
      <c r="J8" s="222">
        <f>+'PRESUPUESTO DE GASTOS'!J8</f>
        <v>36415.440000000002</v>
      </c>
      <c r="K8" s="222">
        <f>+'PRESUPUESTO DE GASTOS'!K8</f>
        <v>36415.440000000002</v>
      </c>
      <c r="L8" s="222">
        <f>+'PRESUPUESTO DE GASTOS'!L8</f>
        <v>36415.440000000002</v>
      </c>
      <c r="M8" s="222">
        <f>+'PRESUPUESTO DE GASTOS'!M8</f>
        <v>36415.440000000002</v>
      </c>
      <c r="N8" s="222">
        <f>+'PRESUPUESTO DE GASTOS'!N8</f>
        <v>36415.440000000002</v>
      </c>
      <c r="O8" s="222">
        <f>+'PRESUPUESTO DE GASTOS'!O8</f>
        <v>36415.440000000002</v>
      </c>
      <c r="P8" s="222">
        <f>+'PRESUPUESTO DE GASTOS'!P8</f>
        <v>36415.440000000002</v>
      </c>
      <c r="Q8" s="222">
        <f>+'PRESUPUESTO DE GASTOS'!Q8</f>
        <v>36415.440000000002</v>
      </c>
      <c r="R8" s="222">
        <f>+'PRESUPUESTO DE GASTOS'!R8</f>
        <v>36415.440000000002</v>
      </c>
      <c r="S8" s="222">
        <f>+'PRESUPUESTO DE GASTOS'!S8</f>
        <v>36415.440000000002</v>
      </c>
      <c r="T8" s="222">
        <f>+'PRESUPUESTO DE GASTOS'!T8</f>
        <v>36415.440000000002</v>
      </c>
      <c r="U8" s="222">
        <f>+'PRESUPUESTO DE GASTOS'!U8</f>
        <v>36415.440000000002</v>
      </c>
      <c r="V8" s="222">
        <f>+'PRESUPUESTO DE GASTOS'!V8</f>
        <v>36415.440000000002</v>
      </c>
      <c r="W8" s="222">
        <f>+'PRESUPUESTO DE GASTOS'!W8</f>
        <v>36415.440000000002</v>
      </c>
      <c r="X8" s="222">
        <f>+'PRESUPUESTO DE GASTOS'!X8</f>
        <v>36415.440000000002</v>
      </c>
      <c r="Y8" s="222">
        <f>+'PRESUPUESTO DE GASTOS'!Y8</f>
        <v>36415.440000000002</v>
      </c>
    </row>
    <row r="9" spans="1:25" ht="12.75" x14ac:dyDescent="0.25">
      <c r="A9" s="221" t="s">
        <v>270</v>
      </c>
      <c r="B9" s="222">
        <f>+'PRESUPUESTO DE GASTOS'!B14</f>
        <v>1600</v>
      </c>
      <c r="C9" s="222">
        <f>+'PRESUPUESTO DE GASTOS'!C14</f>
        <v>1600</v>
      </c>
      <c r="D9" s="222">
        <f>+'PRESUPUESTO DE GASTOS'!D14</f>
        <v>1600</v>
      </c>
      <c r="E9" s="222">
        <f>+'PRESUPUESTO DE GASTOS'!E14</f>
        <v>1600</v>
      </c>
      <c r="F9" s="222">
        <f>+'PRESUPUESTO DE GASTOS'!F14</f>
        <v>1600</v>
      </c>
      <c r="G9" s="222">
        <f>+'PRESUPUESTO DE GASTOS'!G14</f>
        <v>1600</v>
      </c>
      <c r="H9" s="222">
        <f>+'PRESUPUESTO DE GASTOS'!H14</f>
        <v>1600</v>
      </c>
      <c r="I9" s="222">
        <f>+'PRESUPUESTO DE GASTOS'!I14</f>
        <v>1600</v>
      </c>
      <c r="J9" s="222">
        <f>+'PRESUPUESTO DE GASTOS'!J14</f>
        <v>1600</v>
      </c>
      <c r="K9" s="222">
        <f>+'PRESUPUESTO DE GASTOS'!K14</f>
        <v>1600</v>
      </c>
      <c r="L9" s="222">
        <f>+'PRESUPUESTO DE GASTOS'!L14</f>
        <v>1600</v>
      </c>
      <c r="M9" s="222">
        <f>+'PRESUPUESTO DE GASTOS'!M14</f>
        <v>1600</v>
      </c>
      <c r="N9" s="222">
        <f>+'PRESUPUESTO DE GASTOS'!N14</f>
        <v>1600</v>
      </c>
      <c r="O9" s="222">
        <f>+'PRESUPUESTO DE GASTOS'!O14</f>
        <v>1600</v>
      </c>
      <c r="P9" s="222">
        <f>+'PRESUPUESTO DE GASTOS'!P14</f>
        <v>1600</v>
      </c>
      <c r="Q9" s="222">
        <f>+'PRESUPUESTO DE GASTOS'!Q14</f>
        <v>1600</v>
      </c>
      <c r="R9" s="222">
        <f>+'PRESUPUESTO DE GASTOS'!R14</f>
        <v>1600</v>
      </c>
      <c r="S9" s="222">
        <f>+'PRESUPUESTO DE GASTOS'!S14</f>
        <v>1600</v>
      </c>
      <c r="T9" s="222">
        <f>+'PRESUPUESTO DE GASTOS'!T14</f>
        <v>1600</v>
      </c>
      <c r="U9" s="222">
        <f>+'PRESUPUESTO DE GASTOS'!U14</f>
        <v>1600</v>
      </c>
      <c r="V9" s="222">
        <f>+'PRESUPUESTO DE GASTOS'!V14</f>
        <v>1600</v>
      </c>
      <c r="W9" s="222">
        <f>+'PRESUPUESTO DE GASTOS'!W14</f>
        <v>1600</v>
      </c>
      <c r="X9" s="222">
        <f>+'PRESUPUESTO DE GASTOS'!X14</f>
        <v>1600</v>
      </c>
      <c r="Y9" s="222">
        <f>+'PRESUPUESTO DE GASTOS'!Y14</f>
        <v>1600</v>
      </c>
    </row>
    <row r="10" spans="1:25" ht="12.75" x14ac:dyDescent="0.25">
      <c r="A10" s="221" t="s">
        <v>271</v>
      </c>
      <c r="B10" s="222">
        <f>+'PRESUPUESTO DE GASTOS'!B27</f>
        <v>6104</v>
      </c>
      <c r="C10" s="222">
        <f>+'PRESUPUESTO DE GASTOS'!C27</f>
        <v>6104</v>
      </c>
      <c r="D10" s="222">
        <f>+'PRESUPUESTO DE GASTOS'!D27</f>
        <v>6104</v>
      </c>
      <c r="E10" s="222">
        <f>+'PRESUPUESTO DE GASTOS'!E27</f>
        <v>6104</v>
      </c>
      <c r="F10" s="222">
        <f>+'PRESUPUESTO DE GASTOS'!F27</f>
        <v>6104</v>
      </c>
      <c r="G10" s="222">
        <f>+'PRESUPUESTO DE GASTOS'!G27</f>
        <v>6104</v>
      </c>
      <c r="H10" s="222">
        <f>+'PRESUPUESTO DE GASTOS'!H27</f>
        <v>6104</v>
      </c>
      <c r="I10" s="222">
        <f>+'PRESUPUESTO DE GASTOS'!I27</f>
        <v>6104</v>
      </c>
      <c r="J10" s="222">
        <f>+'PRESUPUESTO DE GASTOS'!J27</f>
        <v>6104</v>
      </c>
      <c r="K10" s="222">
        <f>+'PRESUPUESTO DE GASTOS'!K27</f>
        <v>6104</v>
      </c>
      <c r="L10" s="222">
        <f>+'PRESUPUESTO DE GASTOS'!L27</f>
        <v>6104</v>
      </c>
      <c r="M10" s="222">
        <f>+'PRESUPUESTO DE GASTOS'!M27</f>
        <v>6104</v>
      </c>
      <c r="N10" s="222">
        <f>+'PRESUPUESTO DE GASTOS'!N27</f>
        <v>6104</v>
      </c>
      <c r="O10" s="222">
        <f>+'PRESUPUESTO DE GASTOS'!O27</f>
        <v>6104</v>
      </c>
      <c r="P10" s="222">
        <f>+'PRESUPUESTO DE GASTOS'!P27</f>
        <v>6104</v>
      </c>
      <c r="Q10" s="222">
        <f>+'PRESUPUESTO DE GASTOS'!Q27</f>
        <v>6104</v>
      </c>
      <c r="R10" s="222">
        <f>+'PRESUPUESTO DE GASTOS'!R27</f>
        <v>6104</v>
      </c>
      <c r="S10" s="222">
        <f>+'PRESUPUESTO DE GASTOS'!S27</f>
        <v>6104</v>
      </c>
      <c r="T10" s="222">
        <f>+'PRESUPUESTO DE GASTOS'!T27</f>
        <v>6104</v>
      </c>
      <c r="U10" s="222">
        <f>+'PRESUPUESTO DE GASTOS'!U27</f>
        <v>6104</v>
      </c>
      <c r="V10" s="222">
        <f>+'PRESUPUESTO DE GASTOS'!V27</f>
        <v>6104</v>
      </c>
      <c r="W10" s="222">
        <f>+'PRESUPUESTO DE GASTOS'!W27</f>
        <v>6104</v>
      </c>
      <c r="X10" s="222">
        <f>+'PRESUPUESTO DE GASTOS'!X27</f>
        <v>6104</v>
      </c>
      <c r="Y10" s="222">
        <f>+'PRESUPUESTO DE GASTOS'!Y27</f>
        <v>6104</v>
      </c>
    </row>
    <row r="11" spans="1:25" ht="12.75" x14ac:dyDescent="0.25">
      <c r="A11" s="221" t="s">
        <v>272</v>
      </c>
      <c r="B11" s="222">
        <f>+'PRESUPUESTO DE GASTOS'!B20</f>
        <v>500</v>
      </c>
      <c r="C11" s="222">
        <f>+'PRESUPUESTO DE GASTOS'!C20</f>
        <v>0</v>
      </c>
      <c r="D11" s="222">
        <f>+'PRESUPUESTO DE GASTOS'!D20</f>
        <v>0</v>
      </c>
      <c r="E11" s="222">
        <f>+'PRESUPUESTO DE GASTOS'!E20</f>
        <v>0</v>
      </c>
      <c r="F11" s="222">
        <f>+'PRESUPUESTO DE GASTOS'!F20</f>
        <v>0</v>
      </c>
      <c r="G11" s="222">
        <f>+'PRESUPUESTO DE GASTOS'!G20</f>
        <v>0</v>
      </c>
      <c r="H11" s="222">
        <f>+'PRESUPUESTO DE GASTOS'!H20</f>
        <v>400</v>
      </c>
      <c r="I11" s="222">
        <f>+'PRESUPUESTO DE GASTOS'!I20</f>
        <v>0</v>
      </c>
      <c r="J11" s="222">
        <f>+'PRESUPUESTO DE GASTOS'!J20</f>
        <v>0</v>
      </c>
      <c r="K11" s="222">
        <f>+'PRESUPUESTO DE GASTOS'!K20</f>
        <v>0</v>
      </c>
      <c r="L11" s="222">
        <f>+'PRESUPUESTO DE GASTOS'!L20</f>
        <v>0</v>
      </c>
      <c r="M11" s="222">
        <f>+'PRESUPUESTO DE GASTOS'!M20</f>
        <v>0</v>
      </c>
      <c r="N11" s="222">
        <f>+'PRESUPUESTO DE GASTOS'!N20</f>
        <v>400</v>
      </c>
      <c r="O11" s="222">
        <f>+'PRESUPUESTO DE GASTOS'!O20</f>
        <v>0</v>
      </c>
      <c r="P11" s="222">
        <f>+'PRESUPUESTO DE GASTOS'!P20</f>
        <v>0</v>
      </c>
      <c r="Q11" s="222">
        <f>+'PRESUPUESTO DE GASTOS'!Q20</f>
        <v>0</v>
      </c>
      <c r="R11" s="222">
        <f>+'PRESUPUESTO DE GASTOS'!R20</f>
        <v>0</v>
      </c>
      <c r="S11" s="222">
        <f>+'PRESUPUESTO DE GASTOS'!S20</f>
        <v>0</v>
      </c>
      <c r="T11" s="222">
        <f>+'PRESUPUESTO DE GASTOS'!T20</f>
        <v>400</v>
      </c>
      <c r="U11" s="222">
        <f>+'PRESUPUESTO DE GASTOS'!U20</f>
        <v>0</v>
      </c>
      <c r="V11" s="222">
        <f>+'PRESUPUESTO DE GASTOS'!V20</f>
        <v>0</v>
      </c>
      <c r="W11" s="222">
        <f>+'PRESUPUESTO DE GASTOS'!W20</f>
        <v>0</v>
      </c>
      <c r="X11" s="222">
        <f>+'PRESUPUESTO DE GASTOS'!X20</f>
        <v>0</v>
      </c>
      <c r="Y11" s="222">
        <f>+'PRESUPUESTO DE GASTOS'!Y20</f>
        <v>400</v>
      </c>
    </row>
    <row r="12" spans="1:25" ht="12.75" x14ac:dyDescent="0.25">
      <c r="A12" s="221" t="s">
        <v>273</v>
      </c>
      <c r="B12" s="222">
        <f>+'PRESUPUESTO DE GASTOS'!B29</f>
        <v>667.94999999999993</v>
      </c>
      <c r="C12" s="222">
        <f>+'PRESUPUESTO DE GASTOS'!C29</f>
        <v>667.94999999999993</v>
      </c>
      <c r="D12" s="222">
        <f>+'PRESUPUESTO DE GASTOS'!D29</f>
        <v>667.94999999999993</v>
      </c>
      <c r="E12" s="222">
        <f>+'PRESUPUESTO DE GASTOS'!E29</f>
        <v>667.94999999999993</v>
      </c>
      <c r="F12" s="222">
        <f>+'PRESUPUESTO DE GASTOS'!F29</f>
        <v>667.94999999999993</v>
      </c>
      <c r="G12" s="222">
        <f>+'PRESUPUESTO DE GASTOS'!G29</f>
        <v>667.94999999999993</v>
      </c>
      <c r="H12" s="222">
        <f>+'PRESUPUESTO DE GASTOS'!H29</f>
        <v>667.94999999999993</v>
      </c>
      <c r="I12" s="222">
        <f>+'PRESUPUESTO DE GASTOS'!I29</f>
        <v>667.94999999999993</v>
      </c>
      <c r="J12" s="222">
        <f>+'PRESUPUESTO DE GASTOS'!J29</f>
        <v>667.94999999999993</v>
      </c>
      <c r="K12" s="222">
        <f>+'PRESUPUESTO DE GASTOS'!K29</f>
        <v>667.94999999999993</v>
      </c>
      <c r="L12" s="222">
        <f>+'PRESUPUESTO DE GASTOS'!L29</f>
        <v>667.94999999999993</v>
      </c>
      <c r="M12" s="222">
        <f>+'PRESUPUESTO DE GASTOS'!M29</f>
        <v>667.94999999999993</v>
      </c>
      <c r="N12" s="222">
        <f>+'PRESUPUESTO DE GASTOS'!N29</f>
        <v>667.94999999999993</v>
      </c>
      <c r="O12" s="222">
        <f>+'PRESUPUESTO DE GASTOS'!O29</f>
        <v>667.94999999999993</v>
      </c>
      <c r="P12" s="222">
        <f>+'PRESUPUESTO DE GASTOS'!P29</f>
        <v>667.94999999999993</v>
      </c>
      <c r="Q12" s="222">
        <f>+'PRESUPUESTO DE GASTOS'!Q29</f>
        <v>667.94999999999993</v>
      </c>
      <c r="R12" s="222">
        <f>+'PRESUPUESTO DE GASTOS'!R29</f>
        <v>667.94999999999993</v>
      </c>
      <c r="S12" s="222">
        <f>+'PRESUPUESTO DE GASTOS'!S29</f>
        <v>667.94999999999993</v>
      </c>
      <c r="T12" s="222">
        <f>+'PRESUPUESTO DE GASTOS'!T29</f>
        <v>667.94999999999993</v>
      </c>
      <c r="U12" s="222">
        <f>+'PRESUPUESTO DE GASTOS'!U29</f>
        <v>667.94999999999993</v>
      </c>
      <c r="V12" s="222">
        <f>+'PRESUPUESTO DE GASTOS'!V29</f>
        <v>667.94999999999993</v>
      </c>
      <c r="W12" s="222">
        <f>+'PRESUPUESTO DE GASTOS'!W29</f>
        <v>667.94999999999993</v>
      </c>
      <c r="X12" s="222">
        <f>+'PRESUPUESTO DE GASTOS'!X29</f>
        <v>667.94999999999993</v>
      </c>
      <c r="Y12" s="222">
        <f>+'PRESUPUESTO DE GASTOS'!Y29</f>
        <v>667.94999999999993</v>
      </c>
    </row>
    <row r="13" spans="1:25" ht="13.5" x14ac:dyDescent="0.3">
      <c r="A13" s="218" t="s">
        <v>274</v>
      </c>
      <c r="B13" s="220">
        <f>B5-B6</f>
        <v>5391.6100000000006</v>
      </c>
      <c r="C13" s="220">
        <f t="shared" ref="C13:Y13" si="1">C5-C6</f>
        <v>6336.6100000000006</v>
      </c>
      <c r="D13" s="220">
        <f t="shared" si="1"/>
        <v>6399.6100000000006</v>
      </c>
      <c r="E13" s="220">
        <f t="shared" si="1"/>
        <v>6577.6100000000006</v>
      </c>
      <c r="F13" s="220">
        <f t="shared" si="1"/>
        <v>6582.6100000000006</v>
      </c>
      <c r="G13" s="220">
        <f t="shared" si="1"/>
        <v>6414.6100000000006</v>
      </c>
      <c r="H13" s="220">
        <f t="shared" si="1"/>
        <v>7125.6100000000006</v>
      </c>
      <c r="I13" s="220">
        <f t="shared" si="1"/>
        <v>6336.6100000000006</v>
      </c>
      <c r="J13" s="220">
        <f t="shared" si="1"/>
        <v>6399.6100000000006</v>
      </c>
      <c r="K13" s="220">
        <f t="shared" si="1"/>
        <v>6577.6100000000006</v>
      </c>
      <c r="L13" s="220">
        <f t="shared" si="1"/>
        <v>6582.6100000000006</v>
      </c>
      <c r="M13" s="220">
        <f t="shared" si="1"/>
        <v>7525.6100000000006</v>
      </c>
      <c r="N13" s="220">
        <f t="shared" si="1"/>
        <v>5936.6100000000006</v>
      </c>
      <c r="O13" s="220">
        <f t="shared" si="1"/>
        <v>6399.6100000000006</v>
      </c>
      <c r="P13" s="220">
        <f t="shared" si="1"/>
        <v>6577.6100000000006</v>
      </c>
      <c r="Q13" s="220">
        <f t="shared" si="1"/>
        <v>6582.6100000000006</v>
      </c>
      <c r="R13" s="220">
        <f t="shared" si="1"/>
        <v>6414.6100000000006</v>
      </c>
      <c r="S13" s="220">
        <f t="shared" si="1"/>
        <v>7525.6100000000006</v>
      </c>
      <c r="T13" s="220">
        <f t="shared" si="1"/>
        <v>7125.6100000000006</v>
      </c>
      <c r="U13" s="220">
        <f t="shared" si="1"/>
        <v>6399.6100000000006</v>
      </c>
      <c r="V13" s="220">
        <f t="shared" si="1"/>
        <v>6577.6100000000006</v>
      </c>
      <c r="W13" s="220">
        <f t="shared" si="1"/>
        <v>6582.6100000000006</v>
      </c>
      <c r="X13" s="220">
        <f t="shared" si="1"/>
        <v>6414.6100000000006</v>
      </c>
      <c r="Y13" s="220">
        <f t="shared" si="1"/>
        <v>7125.6100000000006</v>
      </c>
    </row>
    <row r="14" spans="1:25" ht="13.5" x14ac:dyDescent="0.3">
      <c r="A14" s="218" t="s">
        <v>275</v>
      </c>
      <c r="B14" s="220">
        <f>0.015*B5</f>
        <v>832.125</v>
      </c>
      <c r="C14" s="220">
        <f t="shared" ref="C14:Y14" si="2">0.015*C5</f>
        <v>838.8</v>
      </c>
      <c r="D14" s="220">
        <f t="shared" si="2"/>
        <v>839.745</v>
      </c>
      <c r="E14" s="220">
        <f t="shared" si="2"/>
        <v>842.41499999999996</v>
      </c>
      <c r="F14" s="220">
        <f t="shared" si="2"/>
        <v>842.49</v>
      </c>
      <c r="G14" s="220">
        <f t="shared" si="2"/>
        <v>839.96999999999991</v>
      </c>
      <c r="H14" s="220">
        <f t="shared" si="2"/>
        <v>856.63499999999999</v>
      </c>
      <c r="I14" s="220">
        <f t="shared" si="2"/>
        <v>838.8</v>
      </c>
      <c r="J14" s="220">
        <f t="shared" si="2"/>
        <v>839.745</v>
      </c>
      <c r="K14" s="220">
        <f t="shared" si="2"/>
        <v>842.41499999999996</v>
      </c>
      <c r="L14" s="220">
        <f t="shared" si="2"/>
        <v>842.49</v>
      </c>
      <c r="M14" s="220">
        <f t="shared" si="2"/>
        <v>856.63499999999999</v>
      </c>
      <c r="N14" s="220">
        <f t="shared" si="2"/>
        <v>838.8</v>
      </c>
      <c r="O14" s="220">
        <f t="shared" si="2"/>
        <v>839.745</v>
      </c>
      <c r="P14" s="220">
        <f t="shared" si="2"/>
        <v>842.41499999999996</v>
      </c>
      <c r="Q14" s="220">
        <f t="shared" si="2"/>
        <v>842.49</v>
      </c>
      <c r="R14" s="220">
        <f t="shared" si="2"/>
        <v>839.96999999999991</v>
      </c>
      <c r="S14" s="220">
        <f t="shared" si="2"/>
        <v>856.63499999999999</v>
      </c>
      <c r="T14" s="220">
        <f t="shared" si="2"/>
        <v>856.63499999999999</v>
      </c>
      <c r="U14" s="220">
        <f t="shared" si="2"/>
        <v>839.745</v>
      </c>
      <c r="V14" s="220">
        <f t="shared" si="2"/>
        <v>842.41499999999996</v>
      </c>
      <c r="W14" s="220">
        <f t="shared" si="2"/>
        <v>842.49</v>
      </c>
      <c r="X14" s="220">
        <f t="shared" si="2"/>
        <v>839.96999999999991</v>
      </c>
      <c r="Y14" s="220">
        <f t="shared" si="2"/>
        <v>856.63499999999999</v>
      </c>
    </row>
    <row r="15" spans="1:25" ht="13.5" x14ac:dyDescent="0.3">
      <c r="A15" s="218" t="s">
        <v>276</v>
      </c>
      <c r="B15" s="220">
        <f t="shared" ref="B15:Y15" si="3">B13-B14</f>
        <v>4559.4850000000006</v>
      </c>
      <c r="C15" s="220">
        <f t="shared" si="3"/>
        <v>5497.81</v>
      </c>
      <c r="D15" s="220">
        <f t="shared" si="3"/>
        <v>5559.8650000000007</v>
      </c>
      <c r="E15" s="220">
        <f t="shared" si="3"/>
        <v>5735.1950000000006</v>
      </c>
      <c r="F15" s="220">
        <f t="shared" si="3"/>
        <v>5740.1200000000008</v>
      </c>
      <c r="G15" s="220">
        <f t="shared" si="3"/>
        <v>5574.64</v>
      </c>
      <c r="H15" s="220">
        <f t="shared" si="3"/>
        <v>6268.9750000000004</v>
      </c>
      <c r="I15" s="220">
        <f t="shared" si="3"/>
        <v>5497.81</v>
      </c>
      <c r="J15" s="220">
        <f t="shared" si="3"/>
        <v>5559.8650000000007</v>
      </c>
      <c r="K15" s="220">
        <f t="shared" si="3"/>
        <v>5735.1950000000006</v>
      </c>
      <c r="L15" s="220">
        <f t="shared" si="3"/>
        <v>5740.1200000000008</v>
      </c>
      <c r="M15" s="220">
        <f t="shared" si="3"/>
        <v>6668.9750000000004</v>
      </c>
      <c r="N15" s="220">
        <f t="shared" si="3"/>
        <v>5097.8100000000004</v>
      </c>
      <c r="O15" s="220">
        <f t="shared" si="3"/>
        <v>5559.8650000000007</v>
      </c>
      <c r="P15" s="220">
        <f t="shared" si="3"/>
        <v>5735.1950000000006</v>
      </c>
      <c r="Q15" s="220">
        <f t="shared" si="3"/>
        <v>5740.1200000000008</v>
      </c>
      <c r="R15" s="220">
        <f t="shared" si="3"/>
        <v>5574.64</v>
      </c>
      <c r="S15" s="220">
        <f t="shared" si="3"/>
        <v>6668.9750000000004</v>
      </c>
      <c r="T15" s="220">
        <f t="shared" si="3"/>
        <v>6268.9750000000004</v>
      </c>
      <c r="U15" s="220">
        <f t="shared" si="3"/>
        <v>5559.8650000000007</v>
      </c>
      <c r="V15" s="220">
        <f t="shared" si="3"/>
        <v>5735.1950000000006</v>
      </c>
      <c r="W15" s="220">
        <f t="shared" si="3"/>
        <v>5740.1200000000008</v>
      </c>
      <c r="X15" s="220">
        <f t="shared" si="3"/>
        <v>5574.64</v>
      </c>
      <c r="Y15" s="220">
        <f t="shared" si="3"/>
        <v>6268.9750000000004</v>
      </c>
    </row>
    <row r="16" spans="1:25" s="225" customFormat="1" ht="31.5" customHeight="1" x14ac:dyDescent="0.3">
      <c r="A16" s="223" t="s">
        <v>277</v>
      </c>
      <c r="B16" s="224">
        <f>B15/B5*100</f>
        <v>8.2189905362776035</v>
      </c>
      <c r="C16" s="224">
        <f t="shared" ref="C16:Y16" si="4">C15/C5*100</f>
        <v>9.8315629470672388</v>
      </c>
      <c r="D16" s="224">
        <f t="shared" si="4"/>
        <v>9.9313452298019058</v>
      </c>
      <c r="E16" s="224">
        <f t="shared" si="4"/>
        <v>10.212059970442123</v>
      </c>
      <c r="F16" s="224">
        <f t="shared" si="4"/>
        <v>10.21991952426735</v>
      </c>
      <c r="G16" s="224">
        <f t="shared" si="4"/>
        <v>9.9550698239222832</v>
      </c>
      <c r="H16" s="224">
        <f t="shared" si="4"/>
        <v>10.97721024707139</v>
      </c>
      <c r="I16" s="224">
        <f t="shared" si="4"/>
        <v>9.8315629470672388</v>
      </c>
      <c r="J16" s="224">
        <f t="shared" si="4"/>
        <v>9.9313452298019058</v>
      </c>
      <c r="K16" s="224">
        <f t="shared" si="4"/>
        <v>10.212059970442123</v>
      </c>
      <c r="L16" s="224">
        <f t="shared" si="4"/>
        <v>10.21991952426735</v>
      </c>
      <c r="M16" s="224">
        <f t="shared" si="4"/>
        <v>11.677625242956452</v>
      </c>
      <c r="N16" s="224">
        <f t="shared" si="4"/>
        <v>9.116255364806868</v>
      </c>
      <c r="O16" s="224">
        <f t="shared" si="4"/>
        <v>9.9313452298019058</v>
      </c>
      <c r="P16" s="224">
        <f t="shared" si="4"/>
        <v>10.212059970442123</v>
      </c>
      <c r="Q16" s="224">
        <f t="shared" si="4"/>
        <v>10.21991952426735</v>
      </c>
      <c r="R16" s="224">
        <f t="shared" si="4"/>
        <v>9.9550698239222832</v>
      </c>
      <c r="S16" s="224">
        <f t="shared" si="4"/>
        <v>11.677625242956452</v>
      </c>
      <c r="T16" s="224">
        <f t="shared" si="4"/>
        <v>10.97721024707139</v>
      </c>
      <c r="U16" s="224">
        <f t="shared" si="4"/>
        <v>9.9313452298019058</v>
      </c>
      <c r="V16" s="224">
        <f t="shared" si="4"/>
        <v>10.212059970442123</v>
      </c>
      <c r="W16" s="224">
        <f t="shared" si="4"/>
        <v>10.21991952426735</v>
      </c>
      <c r="X16" s="224">
        <f t="shared" si="4"/>
        <v>9.9550698239222832</v>
      </c>
      <c r="Y16" s="224">
        <f t="shared" si="4"/>
        <v>10.97721024707139</v>
      </c>
    </row>
    <row r="19" spans="2:2" ht="12" customHeight="1" x14ac:dyDescent="0.25">
      <c r="B19" s="216">
        <f>SUM(B15:M15)</f>
        <v>68138.055000000008</v>
      </c>
    </row>
  </sheetData>
  <mergeCells count="1">
    <mergeCell ref="A2:O2"/>
  </mergeCells>
  <hyperlinks>
    <hyperlink ref="A1" location="INDICE!A1" display="INDICE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</sheetPr>
  <dimension ref="A1:K30"/>
  <sheetViews>
    <sheetView workbookViewId="0"/>
  </sheetViews>
  <sheetFormatPr baseColWidth="10" defaultRowHeight="16.5" x14ac:dyDescent="0.3"/>
  <cols>
    <col min="1" max="1" width="6.75" style="226" customWidth="1"/>
    <col min="2" max="2" width="11" style="226"/>
    <col min="3" max="3" width="33.5" style="226" customWidth="1"/>
    <col min="4" max="4" width="15" style="226" customWidth="1"/>
    <col min="5" max="5" width="13.875" style="226" customWidth="1"/>
    <col min="6" max="6" width="11" style="226"/>
    <col min="7" max="7" width="15.5" style="226" customWidth="1"/>
    <col min="8" max="12" width="11" style="226"/>
    <col min="13" max="13" width="14.25" style="226" customWidth="1"/>
    <col min="14" max="16384" width="11" style="226"/>
  </cols>
  <sheetData>
    <row r="1" spans="1:11" x14ac:dyDescent="0.3">
      <c r="A1" s="514" t="s">
        <v>464</v>
      </c>
    </row>
    <row r="2" spans="1:11" ht="21" x14ac:dyDescent="0.35">
      <c r="A2" s="605" t="s">
        <v>278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</row>
    <row r="3" spans="1:11" x14ac:dyDescent="0.3">
      <c r="A3" s="227"/>
      <c r="B3" s="227"/>
      <c r="C3" s="227"/>
      <c r="D3" s="227"/>
      <c r="E3" s="227"/>
    </row>
    <row r="4" spans="1:11" s="228" customFormat="1" ht="27" x14ac:dyDescent="0.3">
      <c r="A4" s="626" t="s">
        <v>279</v>
      </c>
      <c r="B4" s="627"/>
      <c r="C4" s="628"/>
      <c r="D4" s="314" t="s">
        <v>280</v>
      </c>
      <c r="E4" s="314" t="s">
        <v>281</v>
      </c>
      <c r="F4" s="314" t="s">
        <v>282</v>
      </c>
      <c r="G4" s="314" t="s">
        <v>283</v>
      </c>
      <c r="H4" s="314" t="s">
        <v>284</v>
      </c>
      <c r="I4" s="314" t="s">
        <v>285</v>
      </c>
      <c r="J4" s="314" t="s">
        <v>286</v>
      </c>
      <c r="K4" s="314" t="s">
        <v>287</v>
      </c>
    </row>
    <row r="5" spans="1:11" x14ac:dyDescent="0.3">
      <c r="A5" s="229">
        <v>1</v>
      </c>
      <c r="B5" s="230" t="s">
        <v>288</v>
      </c>
      <c r="C5" s="231"/>
      <c r="D5" s="232"/>
      <c r="E5" s="232"/>
      <c r="F5" s="232"/>
      <c r="G5" s="232"/>
      <c r="H5" s="232"/>
      <c r="I5" s="232"/>
      <c r="J5" s="232"/>
      <c r="K5" s="233"/>
    </row>
    <row r="6" spans="1:11" x14ac:dyDescent="0.3">
      <c r="A6" s="229">
        <v>1.1000000000000001</v>
      </c>
      <c r="B6" s="234" t="s">
        <v>289</v>
      </c>
      <c r="C6" s="235"/>
      <c r="D6" s="236"/>
      <c r="E6" s="236"/>
      <c r="F6" s="236"/>
      <c r="G6" s="236"/>
      <c r="H6" s="236"/>
      <c r="I6" s="236"/>
      <c r="J6" s="236"/>
      <c r="K6" s="237"/>
    </row>
    <row r="7" spans="1:11" x14ac:dyDescent="0.3">
      <c r="A7" s="238" t="s">
        <v>290</v>
      </c>
      <c r="B7" s="239" t="s">
        <v>291</v>
      </c>
      <c r="C7" s="240" t="s">
        <v>292</v>
      </c>
      <c r="D7" s="241">
        <f>SUM('FLUJO DE CAJA ECON FINAN'!C18:E18)</f>
        <v>15611.8573134217</v>
      </c>
      <c r="E7" s="241">
        <f>SUM('FLUJO DE CAJA ECON FINAN'!F18:H18)</f>
        <v>17058.8573134217</v>
      </c>
      <c r="F7" s="241">
        <f>SUM('FLUJO DE CAJA ECON FINAN'!I18:K18)</f>
        <v>17345.8573134217</v>
      </c>
      <c r="G7" s="241">
        <f>SUM('FLUJO DE CAJA ECON FINAN'!L18:N18)</f>
        <v>17351.257710502243</v>
      </c>
      <c r="H7" s="241">
        <f>SUM('FLUJO DE CAJA ECON FINAN'!O18:Q18)</f>
        <v>18913.830000000002</v>
      </c>
      <c r="I7" s="241">
        <f>SUM('FLUJO DE CAJA ECON FINAN'!R18:T18)</f>
        <v>20522.830000000002</v>
      </c>
      <c r="J7" s="241">
        <f>SUM('FLUJO DE CAJA ECON FINAN'!U18:W18)</f>
        <v>20102.830000000002</v>
      </c>
      <c r="K7" s="241">
        <f>SUM('FLUJO DE CAJA ECON FINAN'!X18:Z18)</f>
        <v>20122.830000000002</v>
      </c>
    </row>
    <row r="8" spans="1:11" x14ac:dyDescent="0.3">
      <c r="A8" s="238" t="s">
        <v>293</v>
      </c>
      <c r="B8" s="238" t="s">
        <v>294</v>
      </c>
      <c r="C8" s="242" t="s">
        <v>295</v>
      </c>
      <c r="D8" s="243">
        <f>SUM('PRESUPUESTO DE GASTOS'!B7:D7)</f>
        <v>109246.32</v>
      </c>
      <c r="E8" s="243">
        <f>SUM('PRESUPUESTO DE GASTOS'!E7:G7)</f>
        <v>109246.32</v>
      </c>
      <c r="F8" s="243">
        <f>SUM('PRESUPUESTO DE GASTOS'!H7:J7)</f>
        <v>109246.32</v>
      </c>
      <c r="G8" s="243">
        <f>SUM('PRESUPUESTO DE GASTOS'!K7:M7)</f>
        <v>109246.32</v>
      </c>
      <c r="H8" s="243">
        <f>SUM('PRESUPUESTO DE GASTOS'!N7:P7)</f>
        <v>109246.32</v>
      </c>
      <c r="I8" s="243">
        <f>SUM('PRESUPUESTO DE GASTOS'!Q7:S7)</f>
        <v>109246.32</v>
      </c>
      <c r="J8" s="243">
        <f>SUM('PRESUPUESTO DE GASTOS'!T7:V7)</f>
        <v>109246.32</v>
      </c>
      <c r="K8" s="243">
        <f>SUM('PRESUPUESTO DE GASTOS'!W7:Y7)</f>
        <v>109246.32</v>
      </c>
    </row>
    <row r="9" spans="1:11" x14ac:dyDescent="0.3">
      <c r="A9" s="244">
        <v>1.1000000000000001</v>
      </c>
      <c r="B9" s="245" t="s">
        <v>296</v>
      </c>
      <c r="C9" s="245"/>
      <c r="D9" s="246">
        <f t="shared" ref="D9:K9" si="0">SUM(D7:D8)</f>
        <v>124858.17731342171</v>
      </c>
      <c r="E9" s="246">
        <f t="shared" si="0"/>
        <v>126305.17731342171</v>
      </c>
      <c r="F9" s="246">
        <f t="shared" si="0"/>
        <v>126592.17731342171</v>
      </c>
      <c r="G9" s="246">
        <f t="shared" si="0"/>
        <v>126597.57771050226</v>
      </c>
      <c r="H9" s="246">
        <f t="shared" si="0"/>
        <v>128160.15000000001</v>
      </c>
      <c r="I9" s="246">
        <f t="shared" si="0"/>
        <v>129769.15000000001</v>
      </c>
      <c r="J9" s="246">
        <f t="shared" si="0"/>
        <v>129349.15000000001</v>
      </c>
      <c r="K9" s="246">
        <f t="shared" si="0"/>
        <v>129369.15000000001</v>
      </c>
    </row>
    <row r="10" spans="1:11" x14ac:dyDescent="0.3">
      <c r="A10" s="244" t="s">
        <v>297</v>
      </c>
      <c r="B10" s="234" t="s">
        <v>298</v>
      </c>
      <c r="C10" s="235"/>
      <c r="D10" s="247"/>
      <c r="E10" s="247"/>
      <c r="F10" s="247"/>
      <c r="G10" s="247"/>
      <c r="H10" s="248"/>
      <c r="I10" s="248"/>
      <c r="J10" s="248"/>
      <c r="K10" s="249"/>
    </row>
    <row r="11" spans="1:11" x14ac:dyDescent="0.3">
      <c r="A11" s="238" t="s">
        <v>299</v>
      </c>
      <c r="B11" s="238" t="s">
        <v>300</v>
      </c>
      <c r="C11" s="242" t="s">
        <v>301</v>
      </c>
      <c r="D11" s="243">
        <f>'INVERSION TOTAL'!E33</f>
        <v>15537.8</v>
      </c>
      <c r="E11" s="243">
        <f>D11</f>
        <v>15537.8</v>
      </c>
      <c r="F11" s="243">
        <f t="shared" ref="F11:K13" si="1">E11</f>
        <v>15537.8</v>
      </c>
      <c r="G11" s="243">
        <f t="shared" si="1"/>
        <v>15537.8</v>
      </c>
      <c r="H11" s="243">
        <f t="shared" si="1"/>
        <v>15537.8</v>
      </c>
      <c r="I11" s="243">
        <f t="shared" si="1"/>
        <v>15537.8</v>
      </c>
      <c r="J11" s="243">
        <f t="shared" si="1"/>
        <v>15537.8</v>
      </c>
      <c r="K11" s="243">
        <f t="shared" si="1"/>
        <v>15537.8</v>
      </c>
    </row>
    <row r="12" spans="1:11" x14ac:dyDescent="0.3">
      <c r="A12" s="238" t="s">
        <v>302</v>
      </c>
      <c r="B12" s="238" t="s">
        <v>303</v>
      </c>
      <c r="C12" s="242" t="s">
        <v>304</v>
      </c>
      <c r="D12" s="243">
        <f>+'INVERSION TOTAL'!E47</f>
        <v>1993</v>
      </c>
      <c r="E12" s="243">
        <f>D12</f>
        <v>1993</v>
      </c>
      <c r="F12" s="243">
        <f t="shared" si="1"/>
        <v>1993</v>
      </c>
      <c r="G12" s="243">
        <f t="shared" si="1"/>
        <v>1993</v>
      </c>
      <c r="H12" s="243">
        <f t="shared" si="1"/>
        <v>1993</v>
      </c>
      <c r="I12" s="243">
        <f t="shared" si="1"/>
        <v>1993</v>
      </c>
      <c r="J12" s="243">
        <f t="shared" si="1"/>
        <v>1993</v>
      </c>
      <c r="K12" s="243">
        <f t="shared" si="1"/>
        <v>1993</v>
      </c>
    </row>
    <row r="13" spans="1:11" x14ac:dyDescent="0.3">
      <c r="A13" s="238" t="s">
        <v>305</v>
      </c>
      <c r="B13" s="238" t="s">
        <v>306</v>
      </c>
      <c r="C13" s="242" t="s">
        <v>307</v>
      </c>
      <c r="D13" s="243">
        <f>+'DEPRECIACION DE EQUIPOS'!G44</f>
        <v>667.94999999999993</v>
      </c>
      <c r="E13" s="243">
        <f>D13</f>
        <v>667.94999999999993</v>
      </c>
      <c r="F13" s="243">
        <f t="shared" si="1"/>
        <v>667.94999999999993</v>
      </c>
      <c r="G13" s="243">
        <f t="shared" si="1"/>
        <v>667.94999999999993</v>
      </c>
      <c r="H13" s="243">
        <f t="shared" si="1"/>
        <v>667.94999999999993</v>
      </c>
      <c r="I13" s="243">
        <f t="shared" si="1"/>
        <v>667.94999999999993</v>
      </c>
      <c r="J13" s="243">
        <f t="shared" si="1"/>
        <v>667.94999999999993</v>
      </c>
      <c r="K13" s="243">
        <f t="shared" si="1"/>
        <v>667.94999999999993</v>
      </c>
    </row>
    <row r="14" spans="1:11" x14ac:dyDescent="0.3">
      <c r="A14" s="244">
        <v>1.2</v>
      </c>
      <c r="B14" s="250" t="s">
        <v>308</v>
      </c>
      <c r="C14" s="250"/>
      <c r="D14" s="251">
        <f t="shared" ref="D14:K14" si="2">(SUM(D11:D12))-D13</f>
        <v>16862.849999999999</v>
      </c>
      <c r="E14" s="251">
        <f t="shared" si="2"/>
        <v>16862.849999999999</v>
      </c>
      <c r="F14" s="251">
        <f t="shared" si="2"/>
        <v>16862.849999999999</v>
      </c>
      <c r="G14" s="251">
        <f t="shared" si="2"/>
        <v>16862.849999999999</v>
      </c>
      <c r="H14" s="251">
        <f t="shared" si="2"/>
        <v>16862.849999999999</v>
      </c>
      <c r="I14" s="251">
        <f t="shared" si="2"/>
        <v>16862.849999999999</v>
      </c>
      <c r="J14" s="251">
        <f t="shared" si="2"/>
        <v>16862.849999999999</v>
      </c>
      <c r="K14" s="251">
        <f t="shared" si="2"/>
        <v>16862.849999999999</v>
      </c>
    </row>
    <row r="15" spans="1:11" x14ac:dyDescent="0.3">
      <c r="A15" s="252">
        <v>1</v>
      </c>
      <c r="B15" s="253" t="s">
        <v>309</v>
      </c>
      <c r="C15" s="253"/>
      <c r="D15" s="254">
        <f t="shared" ref="D15:K15" si="3">D14+D9</f>
        <v>141721.02731342171</v>
      </c>
      <c r="E15" s="254">
        <f t="shared" si="3"/>
        <v>143168.02731342171</v>
      </c>
      <c r="F15" s="254">
        <f t="shared" si="3"/>
        <v>143455.02731342171</v>
      </c>
      <c r="G15" s="254">
        <f t="shared" si="3"/>
        <v>143460.42771050226</v>
      </c>
      <c r="H15" s="254">
        <f t="shared" si="3"/>
        <v>145023</v>
      </c>
      <c r="I15" s="254">
        <f t="shared" si="3"/>
        <v>146632</v>
      </c>
      <c r="J15" s="254">
        <f t="shared" si="3"/>
        <v>146212</v>
      </c>
      <c r="K15" s="254">
        <f t="shared" si="3"/>
        <v>146232</v>
      </c>
    </row>
    <row r="16" spans="1:11" x14ac:dyDescent="0.3">
      <c r="A16" s="229">
        <v>2</v>
      </c>
      <c r="B16" s="230" t="s">
        <v>310</v>
      </c>
      <c r="C16" s="231"/>
      <c r="D16" s="255"/>
      <c r="E16" s="255"/>
      <c r="F16" s="255"/>
      <c r="G16" s="255"/>
      <c r="H16" s="255"/>
      <c r="I16" s="255"/>
      <c r="J16" s="255"/>
      <c r="K16" s="256"/>
    </row>
    <row r="17" spans="1:11" x14ac:dyDescent="0.3">
      <c r="A17" s="229">
        <v>2.1</v>
      </c>
      <c r="B17" s="234" t="s">
        <v>311</v>
      </c>
      <c r="C17" s="235"/>
      <c r="D17" s="248"/>
      <c r="E17" s="248"/>
      <c r="F17" s="248"/>
      <c r="G17" s="248"/>
      <c r="H17" s="248"/>
      <c r="I17" s="248"/>
      <c r="J17" s="248"/>
      <c r="K17" s="249"/>
    </row>
    <row r="18" spans="1:11" x14ac:dyDescent="0.3">
      <c r="A18" s="238" t="s">
        <v>312</v>
      </c>
      <c r="B18" s="239" t="s">
        <v>313</v>
      </c>
      <c r="C18" s="240" t="s">
        <v>314</v>
      </c>
      <c r="D18" s="241">
        <f>SUM('ESTADO DE GANANCIAS Y PERDIDAS'!B14:D14)</f>
        <v>2510.67</v>
      </c>
      <c r="E18" s="241">
        <f>+SUM('ESTADO DE GANANCIAS Y PERDIDAS'!E14:G14)</f>
        <v>2524.875</v>
      </c>
      <c r="F18" s="241">
        <f>SUM('ESTADO DE GANANCIAS Y PERDIDAS'!H14:J14)</f>
        <v>2535.1799999999998</v>
      </c>
      <c r="G18" s="241">
        <f>SUM('ESTADO DE GANANCIAS Y PERDIDAS'!K14:M14)</f>
        <v>2541.54</v>
      </c>
      <c r="H18" s="241">
        <f>SUM('ESTADO DE GANANCIAS Y PERDIDAS'!N14:P14)</f>
        <v>2520.96</v>
      </c>
      <c r="I18" s="241">
        <f>SUM('ESTADO DE GANANCIAS Y PERDIDAS'!Q14:S14)</f>
        <v>2539.0950000000003</v>
      </c>
      <c r="J18" s="241">
        <f>SUM('ESTADO DE GANANCIAS Y PERDIDAS'!T14:V14)</f>
        <v>2538.7950000000001</v>
      </c>
      <c r="K18" s="241">
        <f>SUM('ESTADO DE GANANCIAS Y PERDIDAS'!W14:Y14)</f>
        <v>2539.0950000000003</v>
      </c>
    </row>
    <row r="19" spans="1:11" x14ac:dyDescent="0.3">
      <c r="A19" s="238" t="s">
        <v>315</v>
      </c>
      <c r="B19" s="238" t="s">
        <v>316</v>
      </c>
      <c r="C19" s="242" t="s">
        <v>317</v>
      </c>
      <c r="D19" s="243">
        <v>0</v>
      </c>
      <c r="E19" s="243">
        <v>0</v>
      </c>
      <c r="F19" s="243">
        <v>0</v>
      </c>
      <c r="G19" s="243">
        <v>0</v>
      </c>
      <c r="H19" s="243">
        <v>0</v>
      </c>
      <c r="I19" s="243">
        <v>0</v>
      </c>
      <c r="J19" s="243">
        <v>0</v>
      </c>
      <c r="K19" s="243">
        <v>0</v>
      </c>
    </row>
    <row r="20" spans="1:11" x14ac:dyDescent="0.3">
      <c r="A20" s="238" t="s">
        <v>318</v>
      </c>
      <c r="B20" s="238" t="s">
        <v>319</v>
      </c>
      <c r="C20" s="242" t="s">
        <v>320</v>
      </c>
      <c r="D20" s="243">
        <f>+AMORTIZACION!B49</f>
        <v>7850.8875146208675</v>
      </c>
      <c r="E20" s="243">
        <f>+AMORTIZACION!B52</f>
        <v>5615.7837984228963</v>
      </c>
      <c r="F20" s="243">
        <f>+AMORTIZACION!B55</f>
        <v>3291.2481325846911</v>
      </c>
      <c r="G20" s="243">
        <v>0</v>
      </c>
      <c r="H20" s="243">
        <v>0</v>
      </c>
      <c r="I20" s="243">
        <v>0</v>
      </c>
      <c r="J20" s="243">
        <v>0</v>
      </c>
      <c r="K20" s="243">
        <v>0</v>
      </c>
    </row>
    <row r="21" spans="1:11" x14ac:dyDescent="0.3">
      <c r="A21" s="244">
        <v>2.1</v>
      </c>
      <c r="B21" s="250" t="s">
        <v>321</v>
      </c>
      <c r="C21" s="250"/>
      <c r="D21" s="251">
        <f t="shared" ref="D21:K21" si="4">SUM(D18:D20)</f>
        <v>10361.557514620868</v>
      </c>
      <c r="E21" s="251">
        <f t="shared" si="4"/>
        <v>8140.6587984228963</v>
      </c>
      <c r="F21" s="251">
        <f t="shared" si="4"/>
        <v>5826.4281325846914</v>
      </c>
      <c r="G21" s="251">
        <f t="shared" si="4"/>
        <v>2541.54</v>
      </c>
      <c r="H21" s="251">
        <f t="shared" si="4"/>
        <v>2520.96</v>
      </c>
      <c r="I21" s="251">
        <f t="shared" si="4"/>
        <v>2539.0950000000003</v>
      </c>
      <c r="J21" s="251">
        <f t="shared" si="4"/>
        <v>2538.7950000000001</v>
      </c>
      <c r="K21" s="251">
        <f t="shared" si="4"/>
        <v>2539.0950000000003</v>
      </c>
    </row>
    <row r="22" spans="1:11" x14ac:dyDescent="0.3">
      <c r="A22" s="244">
        <v>2.2999999999999998</v>
      </c>
      <c r="B22" s="245" t="s">
        <v>322</v>
      </c>
      <c r="C22" s="245"/>
      <c r="D22" s="246">
        <f>D21</f>
        <v>10361.557514620868</v>
      </c>
      <c r="E22" s="246">
        <f t="shared" ref="E22:K22" si="5">E21</f>
        <v>8140.6587984228963</v>
      </c>
      <c r="F22" s="246">
        <f t="shared" si="5"/>
        <v>5826.4281325846914</v>
      </c>
      <c r="G22" s="246">
        <f t="shared" si="5"/>
        <v>2541.54</v>
      </c>
      <c r="H22" s="246">
        <f t="shared" si="5"/>
        <v>2520.96</v>
      </c>
      <c r="I22" s="246">
        <f t="shared" si="5"/>
        <v>2539.0950000000003</v>
      </c>
      <c r="J22" s="246">
        <f t="shared" si="5"/>
        <v>2538.7950000000001</v>
      </c>
      <c r="K22" s="246">
        <f t="shared" si="5"/>
        <v>2539.0950000000003</v>
      </c>
    </row>
    <row r="23" spans="1:11" x14ac:dyDescent="0.3">
      <c r="A23" s="229">
        <v>2.4</v>
      </c>
      <c r="B23" s="234" t="s">
        <v>323</v>
      </c>
      <c r="C23" s="235"/>
      <c r="D23" s="248"/>
      <c r="E23" s="248"/>
      <c r="F23" s="248"/>
      <c r="G23" s="248"/>
      <c r="H23" s="248"/>
      <c r="I23" s="248"/>
      <c r="J23" s="248"/>
      <c r="K23" s="249"/>
    </row>
    <row r="24" spans="1:11" x14ac:dyDescent="0.3">
      <c r="A24" s="238" t="s">
        <v>324</v>
      </c>
      <c r="B24" s="239" t="s">
        <v>325</v>
      </c>
      <c r="C24" s="240" t="s">
        <v>326</v>
      </c>
      <c r="D24" s="241">
        <f>+FINANCIAMIENTO!D6</f>
        <v>43946.240000000005</v>
      </c>
      <c r="E24" s="241">
        <f>D24</f>
        <v>43946.240000000005</v>
      </c>
      <c r="F24" s="241">
        <f t="shared" ref="F24:K24" si="6">E24</f>
        <v>43946.240000000005</v>
      </c>
      <c r="G24" s="241">
        <f t="shared" si="6"/>
        <v>43946.240000000005</v>
      </c>
      <c r="H24" s="241">
        <f t="shared" si="6"/>
        <v>43946.240000000005</v>
      </c>
      <c r="I24" s="241">
        <f t="shared" si="6"/>
        <v>43946.240000000005</v>
      </c>
      <c r="J24" s="241">
        <f t="shared" si="6"/>
        <v>43946.240000000005</v>
      </c>
      <c r="K24" s="241">
        <f t="shared" si="6"/>
        <v>43946.240000000005</v>
      </c>
    </row>
    <row r="25" spans="1:11" x14ac:dyDescent="0.3">
      <c r="A25" s="238" t="s">
        <v>327</v>
      </c>
      <c r="B25" s="238" t="s">
        <v>328</v>
      </c>
      <c r="C25" s="242" t="s">
        <v>329</v>
      </c>
      <c r="D25" s="243">
        <f>SUM('ESTADO DE GANANCIAS Y PERDIDAS'!B15:D15)</f>
        <v>15617.160000000003</v>
      </c>
      <c r="E25" s="243">
        <f>SUM('ESTADO DE GANANCIAS Y PERDIDAS'!E15:G15)</f>
        <v>17049.955000000002</v>
      </c>
      <c r="F25" s="243">
        <f>SUM('ESTADO DE GANANCIAS Y PERDIDAS'!H15:J15)</f>
        <v>17326.650000000001</v>
      </c>
      <c r="G25" s="243">
        <f>SUM('ESTADO DE GANANCIAS Y PERDIDAS'!K15:M15)</f>
        <v>18144.29</v>
      </c>
      <c r="H25" s="243">
        <f>SUM('ESTADO DE GANANCIAS Y PERDIDAS'!N15:P15)</f>
        <v>16392.870000000003</v>
      </c>
      <c r="I25" s="243">
        <f>SUM('ESTADO DE GANANCIAS Y PERDIDAS'!Q15:S15)</f>
        <v>17983.735000000001</v>
      </c>
      <c r="J25" s="243">
        <f>SUM('ESTADO DE GANANCIAS Y PERDIDAS'!T15:V15)</f>
        <v>17564.035</v>
      </c>
      <c r="K25" s="243">
        <f>SUM('ESTADO DE GANANCIAS Y PERDIDAS'!W15:Y15)</f>
        <v>17583.735000000001</v>
      </c>
    </row>
    <row r="26" spans="1:11" x14ac:dyDescent="0.3">
      <c r="A26" s="238" t="s">
        <v>330</v>
      </c>
      <c r="B26" s="238" t="s">
        <v>331</v>
      </c>
      <c r="C26" s="242" t="s">
        <v>332</v>
      </c>
      <c r="D26" s="243">
        <v>0</v>
      </c>
      <c r="E26" s="243">
        <f t="shared" ref="E26:K26" si="7">D25+D26</f>
        <v>15617.160000000003</v>
      </c>
      <c r="F26" s="243">
        <f>E25+E26</f>
        <v>32667.115000000005</v>
      </c>
      <c r="G26" s="243">
        <f t="shared" si="7"/>
        <v>49993.765000000007</v>
      </c>
      <c r="H26" s="243">
        <f t="shared" si="7"/>
        <v>68138.055000000008</v>
      </c>
      <c r="I26" s="243">
        <f t="shared" si="7"/>
        <v>84530.925000000017</v>
      </c>
      <c r="J26" s="243">
        <f t="shared" si="7"/>
        <v>102514.66000000002</v>
      </c>
      <c r="K26" s="243">
        <f t="shared" si="7"/>
        <v>120078.69500000002</v>
      </c>
    </row>
    <row r="27" spans="1:11" x14ac:dyDescent="0.3">
      <c r="A27" s="244">
        <v>2.4</v>
      </c>
      <c r="B27" s="250" t="s">
        <v>333</v>
      </c>
      <c r="C27" s="250"/>
      <c r="D27" s="251">
        <f>SUM(D24:D26)</f>
        <v>59563.400000000009</v>
      </c>
      <c r="E27" s="251">
        <f t="shared" ref="E27:K27" si="8">SUM(E24:E26)</f>
        <v>76613.35500000001</v>
      </c>
      <c r="F27" s="251">
        <f t="shared" si="8"/>
        <v>93940.005000000005</v>
      </c>
      <c r="G27" s="251">
        <f t="shared" si="8"/>
        <v>112084.29500000001</v>
      </c>
      <c r="H27" s="251">
        <f t="shared" si="8"/>
        <v>128477.16500000001</v>
      </c>
      <c r="I27" s="251">
        <f t="shared" si="8"/>
        <v>146460.90000000002</v>
      </c>
      <c r="J27" s="251">
        <f t="shared" si="8"/>
        <v>164024.93500000003</v>
      </c>
      <c r="K27" s="251">
        <f t="shared" si="8"/>
        <v>181608.67000000004</v>
      </c>
    </row>
    <row r="28" spans="1:11" x14ac:dyDescent="0.3">
      <c r="A28" s="252">
        <v>2.5</v>
      </c>
      <c r="B28" s="257" t="s">
        <v>334</v>
      </c>
      <c r="C28" s="257"/>
      <c r="D28" s="258">
        <f t="shared" ref="D28:K28" si="9">D27+D22</f>
        <v>69924.957514620881</v>
      </c>
      <c r="E28" s="258">
        <f t="shared" si="9"/>
        <v>84754.013798422908</v>
      </c>
      <c r="F28" s="258">
        <f t="shared" si="9"/>
        <v>99766.433132584702</v>
      </c>
      <c r="G28" s="258">
        <f t="shared" si="9"/>
        <v>114625.83500000001</v>
      </c>
      <c r="H28" s="258">
        <f t="shared" si="9"/>
        <v>130998.12500000001</v>
      </c>
      <c r="I28" s="258">
        <f t="shared" si="9"/>
        <v>148999.99500000002</v>
      </c>
      <c r="J28" s="258">
        <f t="shared" si="9"/>
        <v>166563.73000000004</v>
      </c>
      <c r="K28" s="258">
        <f t="shared" si="9"/>
        <v>184147.76500000004</v>
      </c>
    </row>
    <row r="29" spans="1:11" x14ac:dyDescent="0.3">
      <c r="D29" s="259"/>
      <c r="E29" s="260">
        <f>18505.01-14018.8</f>
        <v>4486.2099999999991</v>
      </c>
      <c r="F29" s="260">
        <f>23481.96-14833.8</f>
        <v>8648.16</v>
      </c>
      <c r="G29" s="260">
        <f>29625.05-16070.22</f>
        <v>13554.83</v>
      </c>
      <c r="H29" s="260">
        <f>36213.35-16515.08</f>
        <v>19698.269999999997</v>
      </c>
      <c r="I29" s="260">
        <f>41992.03-15705.08</f>
        <v>26286.949999999997</v>
      </c>
      <c r="J29" s="260">
        <f>48332.85-16255.08</f>
        <v>32077.769999999997</v>
      </c>
      <c r="K29" s="260">
        <f>54778.18-16370.08</f>
        <v>38408.1</v>
      </c>
    </row>
    <row r="30" spans="1:11" x14ac:dyDescent="0.3">
      <c r="D30" s="261"/>
      <c r="E30" s="260"/>
      <c r="F30" s="262"/>
      <c r="G30" s="262"/>
      <c r="H30" s="262"/>
      <c r="I30" s="262"/>
      <c r="J30" s="262"/>
      <c r="K30" s="262"/>
    </row>
  </sheetData>
  <mergeCells count="2">
    <mergeCell ref="A2:K2"/>
    <mergeCell ref="A4:C4"/>
  </mergeCells>
  <hyperlinks>
    <hyperlink ref="A1" location="INDICE!A1" display="INDICE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00FF"/>
  </sheetPr>
  <dimension ref="A1:Z59"/>
  <sheetViews>
    <sheetView workbookViewId="0"/>
  </sheetViews>
  <sheetFormatPr baseColWidth="10" defaultColWidth="17.625" defaultRowHeight="12.75" x14ac:dyDescent="0.25"/>
  <cols>
    <col min="1" max="1" width="21.25" style="1" customWidth="1"/>
    <col min="2" max="2" width="11.75" style="1" customWidth="1"/>
    <col min="3" max="3" width="14.625" style="1" customWidth="1"/>
    <col min="4" max="4" width="11.625" style="1" customWidth="1"/>
    <col min="5" max="5" width="11.75" style="1" customWidth="1"/>
    <col min="6" max="6" width="12.75" style="1" customWidth="1"/>
    <col min="7" max="26" width="11.25" style="1" customWidth="1"/>
    <col min="27" max="16384" width="17.625" style="1"/>
  </cols>
  <sheetData>
    <row r="1" spans="1:26" ht="16.5" x14ac:dyDescent="0.3">
      <c r="A1" s="514" t="s">
        <v>464</v>
      </c>
    </row>
    <row r="2" spans="1:26" ht="16.5" customHeight="1" x14ac:dyDescent="0.35">
      <c r="A2" s="605" t="s">
        <v>400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</row>
    <row r="3" spans="1:26" ht="13.5" x14ac:dyDescent="0.3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Y3" s="264" t="s">
        <v>401</v>
      </c>
      <c r="Z3" s="301">
        <v>0.1</v>
      </c>
    </row>
    <row r="4" spans="1:26" ht="13.5" x14ac:dyDescent="0.25">
      <c r="A4" s="313" t="s">
        <v>203</v>
      </c>
      <c r="B4" s="313"/>
      <c r="C4" s="313">
        <v>1</v>
      </c>
      <c r="D4" s="313">
        <v>2</v>
      </c>
      <c r="E4" s="313">
        <v>3</v>
      </c>
      <c r="F4" s="313">
        <v>4</v>
      </c>
      <c r="G4" s="313">
        <v>5</v>
      </c>
      <c r="H4" s="313">
        <v>6</v>
      </c>
      <c r="I4" s="313">
        <v>7</v>
      </c>
      <c r="J4" s="313">
        <v>8</v>
      </c>
      <c r="K4" s="313">
        <v>9</v>
      </c>
      <c r="L4" s="313">
        <v>10</v>
      </c>
      <c r="M4" s="313">
        <v>11</v>
      </c>
      <c r="N4" s="313">
        <v>12</v>
      </c>
      <c r="O4" s="313">
        <v>13</v>
      </c>
      <c r="P4" s="313">
        <v>14</v>
      </c>
      <c r="Q4" s="313">
        <v>15</v>
      </c>
      <c r="R4" s="313">
        <v>16</v>
      </c>
      <c r="S4" s="313">
        <v>17</v>
      </c>
      <c r="T4" s="313">
        <v>18</v>
      </c>
      <c r="U4" s="313">
        <v>19</v>
      </c>
      <c r="V4" s="313">
        <v>20</v>
      </c>
      <c r="W4" s="313">
        <v>21</v>
      </c>
      <c r="X4" s="313">
        <v>22</v>
      </c>
      <c r="Y4" s="313">
        <v>23</v>
      </c>
      <c r="Z4" s="313">
        <v>24</v>
      </c>
    </row>
    <row r="5" spans="1:26" ht="13.5" x14ac:dyDescent="0.3">
      <c r="A5" s="302" t="s">
        <v>337</v>
      </c>
      <c r="B5" s="303"/>
      <c r="C5" s="303">
        <f>'ESTADO DE GANANCIAS Y PERDIDAS'!B5</f>
        <v>55475</v>
      </c>
      <c r="D5" s="303">
        <f>'ESTADO DE GANANCIAS Y PERDIDAS'!C5</f>
        <v>55920</v>
      </c>
      <c r="E5" s="303">
        <f>'ESTADO DE GANANCIAS Y PERDIDAS'!D5</f>
        <v>55983</v>
      </c>
      <c r="F5" s="303">
        <f>'ESTADO DE GANANCIAS Y PERDIDAS'!E5</f>
        <v>56161</v>
      </c>
      <c r="G5" s="303">
        <f>'ESTADO DE GANANCIAS Y PERDIDAS'!F5</f>
        <v>56166</v>
      </c>
      <c r="H5" s="303">
        <f>'ESTADO DE GANANCIAS Y PERDIDAS'!G5</f>
        <v>55998</v>
      </c>
      <c r="I5" s="303">
        <f>'ESTADO DE GANANCIAS Y PERDIDAS'!H5</f>
        <v>57109</v>
      </c>
      <c r="J5" s="303">
        <f>'ESTADO DE GANANCIAS Y PERDIDAS'!I5</f>
        <v>55920</v>
      </c>
      <c r="K5" s="303">
        <f>'ESTADO DE GANANCIAS Y PERDIDAS'!J5</f>
        <v>55983</v>
      </c>
      <c r="L5" s="303">
        <f>'ESTADO DE GANANCIAS Y PERDIDAS'!K5</f>
        <v>56161</v>
      </c>
      <c r="M5" s="303">
        <f>'ESTADO DE GANANCIAS Y PERDIDAS'!L5</f>
        <v>56166</v>
      </c>
      <c r="N5" s="303">
        <f>'ESTADO DE GANANCIAS Y PERDIDAS'!M5</f>
        <v>57109</v>
      </c>
      <c r="O5" s="303">
        <f>'ESTADO DE GANANCIAS Y PERDIDAS'!N5</f>
        <v>55920</v>
      </c>
      <c r="P5" s="303">
        <f>'ESTADO DE GANANCIAS Y PERDIDAS'!O5</f>
        <v>55983</v>
      </c>
      <c r="Q5" s="303">
        <f>'ESTADO DE GANANCIAS Y PERDIDAS'!P5</f>
        <v>56161</v>
      </c>
      <c r="R5" s="303">
        <f>'ESTADO DE GANANCIAS Y PERDIDAS'!Q5</f>
        <v>56166</v>
      </c>
      <c r="S5" s="303">
        <f>'ESTADO DE GANANCIAS Y PERDIDAS'!R5</f>
        <v>55998</v>
      </c>
      <c r="T5" s="303">
        <f>'ESTADO DE GANANCIAS Y PERDIDAS'!S5</f>
        <v>57109</v>
      </c>
      <c r="U5" s="303">
        <f>'ESTADO DE GANANCIAS Y PERDIDAS'!T5</f>
        <v>57109</v>
      </c>
      <c r="V5" s="303">
        <f>'ESTADO DE GANANCIAS Y PERDIDAS'!U5</f>
        <v>55983</v>
      </c>
      <c r="W5" s="303">
        <f>'ESTADO DE GANANCIAS Y PERDIDAS'!V5</f>
        <v>56161</v>
      </c>
      <c r="X5" s="303">
        <f>'ESTADO DE GANANCIAS Y PERDIDAS'!W5</f>
        <v>56166</v>
      </c>
      <c r="Y5" s="303">
        <f>'ESTADO DE GANANCIAS Y PERDIDAS'!X5</f>
        <v>55998</v>
      </c>
      <c r="Z5" s="303">
        <f>'ESTADO DE GANANCIAS Y PERDIDAS'!Y5</f>
        <v>57109</v>
      </c>
    </row>
    <row r="6" spans="1:26" ht="13.5" x14ac:dyDescent="0.3">
      <c r="A6" s="302"/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</row>
    <row r="7" spans="1:26" ht="13.5" x14ac:dyDescent="0.3">
      <c r="A7" s="302" t="s">
        <v>338</v>
      </c>
      <c r="B7" s="303">
        <f>B8+B9+B10+B11</f>
        <v>53946.240000000005</v>
      </c>
      <c r="C7" s="303">
        <f>C8+C9+C10+C11</f>
        <v>50083.39</v>
      </c>
      <c r="D7" s="303">
        <f t="shared" ref="D7:Z7" si="0">D8+D9+D10+D11</f>
        <v>49583.39</v>
      </c>
      <c r="E7" s="303">
        <f t="shared" si="0"/>
        <v>49583.39</v>
      </c>
      <c r="F7" s="303">
        <f t="shared" si="0"/>
        <v>49583.39</v>
      </c>
      <c r="G7" s="303">
        <f t="shared" si="0"/>
        <v>49583.39</v>
      </c>
      <c r="H7" s="303">
        <f t="shared" si="0"/>
        <v>49583.39</v>
      </c>
      <c r="I7" s="303">
        <f t="shared" si="0"/>
        <v>49983.39</v>
      </c>
      <c r="J7" s="303">
        <f t="shared" si="0"/>
        <v>49583.39</v>
      </c>
      <c r="K7" s="303">
        <f t="shared" si="0"/>
        <v>49583.39</v>
      </c>
      <c r="L7" s="303">
        <f t="shared" si="0"/>
        <v>49583.39</v>
      </c>
      <c r="M7" s="303">
        <f t="shared" si="0"/>
        <v>49583.39</v>
      </c>
      <c r="N7" s="303">
        <f t="shared" si="0"/>
        <v>49583.39</v>
      </c>
      <c r="O7" s="303">
        <f t="shared" si="0"/>
        <v>49983.39</v>
      </c>
      <c r="P7" s="303">
        <f t="shared" si="0"/>
        <v>49583.39</v>
      </c>
      <c r="Q7" s="303">
        <f t="shared" si="0"/>
        <v>49583.39</v>
      </c>
      <c r="R7" s="303">
        <f t="shared" si="0"/>
        <v>49583.39</v>
      </c>
      <c r="S7" s="303">
        <f t="shared" si="0"/>
        <v>49583.39</v>
      </c>
      <c r="T7" s="303">
        <f t="shared" si="0"/>
        <v>49583.39</v>
      </c>
      <c r="U7" s="303">
        <f t="shared" si="0"/>
        <v>49983.39</v>
      </c>
      <c r="V7" s="303">
        <f t="shared" si="0"/>
        <v>49583.39</v>
      </c>
      <c r="W7" s="303">
        <f t="shared" si="0"/>
        <v>49583.39</v>
      </c>
      <c r="X7" s="303">
        <f t="shared" si="0"/>
        <v>49583.39</v>
      </c>
      <c r="Y7" s="303">
        <f t="shared" si="0"/>
        <v>49583.39</v>
      </c>
      <c r="Z7" s="303">
        <f t="shared" si="0"/>
        <v>49983.39</v>
      </c>
    </row>
    <row r="8" spans="1:26" ht="13.5" x14ac:dyDescent="0.3">
      <c r="A8" s="302" t="s">
        <v>402</v>
      </c>
      <c r="B8" s="303">
        <f>+'INVERSION TOTAL'!E72</f>
        <v>53946.240000000005</v>
      </c>
      <c r="C8" s="212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</row>
    <row r="9" spans="1:26" ht="13.5" x14ac:dyDescent="0.3">
      <c r="A9" s="302" t="s">
        <v>403</v>
      </c>
      <c r="B9" s="303"/>
      <c r="C9" s="303">
        <f>+'PRESUPUESTO DE GASTOS'!B5</f>
        <v>42811.44</v>
      </c>
      <c r="D9" s="303">
        <f>+'PRESUPUESTO DE GASTOS'!C5</f>
        <v>42811.44</v>
      </c>
      <c r="E9" s="303">
        <f>+'PRESUPUESTO DE GASTOS'!D5</f>
        <v>42811.44</v>
      </c>
      <c r="F9" s="303">
        <f>+'PRESUPUESTO DE GASTOS'!E5</f>
        <v>42811.44</v>
      </c>
      <c r="G9" s="303">
        <f>+'PRESUPUESTO DE GASTOS'!F5</f>
        <v>42811.44</v>
      </c>
      <c r="H9" s="303">
        <f>+'PRESUPUESTO DE GASTOS'!G5</f>
        <v>42811.44</v>
      </c>
      <c r="I9" s="303">
        <f>+'PRESUPUESTO DE GASTOS'!H5</f>
        <v>42811.44</v>
      </c>
      <c r="J9" s="303">
        <f>+'PRESUPUESTO DE GASTOS'!I5</f>
        <v>42811.44</v>
      </c>
      <c r="K9" s="303">
        <f>+'PRESUPUESTO DE GASTOS'!J5</f>
        <v>42811.44</v>
      </c>
      <c r="L9" s="303">
        <f>+'PRESUPUESTO DE GASTOS'!K5</f>
        <v>42811.44</v>
      </c>
      <c r="M9" s="303">
        <f>+'PRESUPUESTO DE GASTOS'!L5</f>
        <v>42811.44</v>
      </c>
      <c r="N9" s="303">
        <f>+'PRESUPUESTO DE GASTOS'!M5</f>
        <v>42811.44</v>
      </c>
      <c r="O9" s="303">
        <f>+'PRESUPUESTO DE GASTOS'!N5</f>
        <v>42811.44</v>
      </c>
      <c r="P9" s="303">
        <f>+'PRESUPUESTO DE GASTOS'!O5</f>
        <v>42811.44</v>
      </c>
      <c r="Q9" s="303">
        <f>+'PRESUPUESTO DE GASTOS'!P5</f>
        <v>42811.44</v>
      </c>
      <c r="R9" s="303">
        <f>+'PRESUPUESTO DE GASTOS'!Q5</f>
        <v>42811.44</v>
      </c>
      <c r="S9" s="303">
        <f>+'PRESUPUESTO DE GASTOS'!R5</f>
        <v>42811.44</v>
      </c>
      <c r="T9" s="303">
        <f>+'PRESUPUESTO DE GASTOS'!S5</f>
        <v>42811.44</v>
      </c>
      <c r="U9" s="303">
        <f>+'PRESUPUESTO DE GASTOS'!T5</f>
        <v>42811.44</v>
      </c>
      <c r="V9" s="303">
        <f>+'PRESUPUESTO DE GASTOS'!U5</f>
        <v>42811.44</v>
      </c>
      <c r="W9" s="303">
        <f>+'PRESUPUESTO DE GASTOS'!V5</f>
        <v>42811.44</v>
      </c>
      <c r="X9" s="303">
        <f>+'PRESUPUESTO DE GASTOS'!W5</f>
        <v>42811.44</v>
      </c>
      <c r="Y9" s="303">
        <f>+'PRESUPUESTO DE GASTOS'!X5</f>
        <v>42811.44</v>
      </c>
      <c r="Z9" s="303">
        <f>+'PRESUPUESTO DE GASTOS'!Y5</f>
        <v>42811.44</v>
      </c>
    </row>
    <row r="10" spans="1:26" ht="13.5" x14ac:dyDescent="0.3">
      <c r="A10" s="302" t="s">
        <v>404</v>
      </c>
      <c r="B10" s="303"/>
      <c r="C10" s="303">
        <f>+'PRESUPUESTO DE GASTOS'!B20</f>
        <v>500</v>
      </c>
      <c r="D10" s="303">
        <f>+'PRESUPUESTO DE GASTOS'!C20</f>
        <v>0</v>
      </c>
      <c r="E10" s="303">
        <f>+'PRESUPUESTO DE GASTOS'!D20</f>
        <v>0</v>
      </c>
      <c r="F10" s="303">
        <f>+'PRESUPUESTO DE GASTOS'!E20</f>
        <v>0</v>
      </c>
      <c r="G10" s="303">
        <f>+'PRESUPUESTO DE GASTOS'!F20</f>
        <v>0</v>
      </c>
      <c r="H10" s="303">
        <f>+'PRESUPUESTO DE GASTOS'!G20</f>
        <v>0</v>
      </c>
      <c r="I10" s="303">
        <f>+'PRESUPUESTO DE GASTOS'!H20</f>
        <v>400</v>
      </c>
      <c r="J10" s="303">
        <f>+'PRESUPUESTO DE GASTOS'!I20</f>
        <v>0</v>
      </c>
      <c r="K10" s="303">
        <f>+'PRESUPUESTO DE GASTOS'!J20</f>
        <v>0</v>
      </c>
      <c r="L10" s="303">
        <f>+'PRESUPUESTO DE GASTOS'!K20</f>
        <v>0</v>
      </c>
      <c r="M10" s="303">
        <f>+'PRESUPUESTO DE GASTOS'!L20</f>
        <v>0</v>
      </c>
      <c r="N10" s="303">
        <f>+'PRESUPUESTO DE GASTOS'!M20</f>
        <v>0</v>
      </c>
      <c r="O10" s="303">
        <f>+'PRESUPUESTO DE GASTOS'!N20</f>
        <v>400</v>
      </c>
      <c r="P10" s="303">
        <f>+'PRESUPUESTO DE GASTOS'!O20</f>
        <v>0</v>
      </c>
      <c r="Q10" s="303">
        <f>+'PRESUPUESTO DE GASTOS'!P20</f>
        <v>0</v>
      </c>
      <c r="R10" s="303">
        <f>+'PRESUPUESTO DE GASTOS'!Q20</f>
        <v>0</v>
      </c>
      <c r="S10" s="303">
        <f>+'PRESUPUESTO DE GASTOS'!R20</f>
        <v>0</v>
      </c>
      <c r="T10" s="303">
        <f>+'PRESUPUESTO DE GASTOS'!S20</f>
        <v>0</v>
      </c>
      <c r="U10" s="303">
        <f>+'PRESUPUESTO DE GASTOS'!T20</f>
        <v>400</v>
      </c>
      <c r="V10" s="303">
        <f>+'PRESUPUESTO DE GASTOS'!U20</f>
        <v>0</v>
      </c>
      <c r="W10" s="303">
        <f>+'PRESUPUESTO DE GASTOS'!V20</f>
        <v>0</v>
      </c>
      <c r="X10" s="303">
        <f>+'PRESUPUESTO DE GASTOS'!W20</f>
        <v>0</v>
      </c>
      <c r="Y10" s="303">
        <f>+'PRESUPUESTO DE GASTOS'!X20</f>
        <v>0</v>
      </c>
      <c r="Z10" s="303">
        <f>+'PRESUPUESTO DE GASTOS'!Y20</f>
        <v>400</v>
      </c>
    </row>
    <row r="11" spans="1:26" ht="13.5" x14ac:dyDescent="0.3">
      <c r="A11" s="302" t="s">
        <v>405</v>
      </c>
      <c r="B11" s="303"/>
      <c r="C11" s="303">
        <f>+'PRESUPUESTO DE GASTOS'!B26</f>
        <v>6771.95</v>
      </c>
      <c r="D11" s="303">
        <f>+'PRESUPUESTO DE GASTOS'!C26</f>
        <v>6771.95</v>
      </c>
      <c r="E11" s="303">
        <f>+'PRESUPUESTO DE GASTOS'!D26</f>
        <v>6771.95</v>
      </c>
      <c r="F11" s="303">
        <f>+'PRESUPUESTO DE GASTOS'!E26</f>
        <v>6771.95</v>
      </c>
      <c r="G11" s="303">
        <f>+'PRESUPUESTO DE GASTOS'!F26</f>
        <v>6771.95</v>
      </c>
      <c r="H11" s="303">
        <f>+'PRESUPUESTO DE GASTOS'!G26</f>
        <v>6771.95</v>
      </c>
      <c r="I11" s="303">
        <f>+'PRESUPUESTO DE GASTOS'!H26</f>
        <v>6771.95</v>
      </c>
      <c r="J11" s="303">
        <f>+'PRESUPUESTO DE GASTOS'!I26</f>
        <v>6771.95</v>
      </c>
      <c r="K11" s="303">
        <f>+'PRESUPUESTO DE GASTOS'!J26</f>
        <v>6771.95</v>
      </c>
      <c r="L11" s="303">
        <f>+'PRESUPUESTO DE GASTOS'!K26</f>
        <v>6771.95</v>
      </c>
      <c r="M11" s="303">
        <f>+'PRESUPUESTO DE GASTOS'!L26</f>
        <v>6771.95</v>
      </c>
      <c r="N11" s="303">
        <f>+'PRESUPUESTO DE GASTOS'!M26</f>
        <v>6771.95</v>
      </c>
      <c r="O11" s="303">
        <f>+'PRESUPUESTO DE GASTOS'!N26</f>
        <v>6771.95</v>
      </c>
      <c r="P11" s="303">
        <f>+'PRESUPUESTO DE GASTOS'!O26</f>
        <v>6771.95</v>
      </c>
      <c r="Q11" s="303">
        <f>+'PRESUPUESTO DE GASTOS'!P26</f>
        <v>6771.95</v>
      </c>
      <c r="R11" s="303">
        <f>+'PRESUPUESTO DE GASTOS'!Q26</f>
        <v>6771.95</v>
      </c>
      <c r="S11" s="303">
        <f>+'PRESUPUESTO DE GASTOS'!R26</f>
        <v>6771.95</v>
      </c>
      <c r="T11" s="303">
        <f>+'PRESUPUESTO DE GASTOS'!S26</f>
        <v>6771.95</v>
      </c>
      <c r="U11" s="303">
        <f>+'PRESUPUESTO DE GASTOS'!T26</f>
        <v>6771.95</v>
      </c>
      <c r="V11" s="303">
        <f>+'PRESUPUESTO DE GASTOS'!U26</f>
        <v>6771.95</v>
      </c>
      <c r="W11" s="303">
        <f>+'PRESUPUESTO DE GASTOS'!V26</f>
        <v>6771.95</v>
      </c>
      <c r="X11" s="303">
        <f>+'PRESUPUESTO DE GASTOS'!W26</f>
        <v>6771.95</v>
      </c>
      <c r="Y11" s="303">
        <f>+'PRESUPUESTO DE GASTOS'!X26</f>
        <v>6771.95</v>
      </c>
      <c r="Z11" s="303">
        <f>+'PRESUPUESTO DE GASTOS'!Y26</f>
        <v>6771.95</v>
      </c>
    </row>
    <row r="12" spans="1:26" ht="13.5" x14ac:dyDescent="0.3">
      <c r="A12" s="302"/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</row>
    <row r="13" spans="1:26" ht="13.5" x14ac:dyDescent="0.3">
      <c r="A13" s="302" t="s">
        <v>406</v>
      </c>
      <c r="B13" s="303">
        <f>B5-B7</f>
        <v>-53946.240000000005</v>
      </c>
      <c r="C13" s="303">
        <f>C5-C7</f>
        <v>5391.6100000000006</v>
      </c>
      <c r="D13" s="303">
        <f t="shared" ref="D13:Z13" si="1">D5-D7</f>
        <v>6336.6100000000006</v>
      </c>
      <c r="E13" s="303">
        <f t="shared" si="1"/>
        <v>6399.6100000000006</v>
      </c>
      <c r="F13" s="303">
        <f t="shared" si="1"/>
        <v>6577.6100000000006</v>
      </c>
      <c r="G13" s="303">
        <f t="shared" si="1"/>
        <v>6582.6100000000006</v>
      </c>
      <c r="H13" s="303">
        <f t="shared" si="1"/>
        <v>6414.6100000000006</v>
      </c>
      <c r="I13" s="303">
        <f t="shared" si="1"/>
        <v>7125.6100000000006</v>
      </c>
      <c r="J13" s="303">
        <f t="shared" si="1"/>
        <v>6336.6100000000006</v>
      </c>
      <c r="K13" s="303">
        <f t="shared" si="1"/>
        <v>6399.6100000000006</v>
      </c>
      <c r="L13" s="303">
        <f t="shared" si="1"/>
        <v>6577.6100000000006</v>
      </c>
      <c r="M13" s="303">
        <f t="shared" si="1"/>
        <v>6582.6100000000006</v>
      </c>
      <c r="N13" s="303">
        <f t="shared" si="1"/>
        <v>7525.6100000000006</v>
      </c>
      <c r="O13" s="303">
        <f t="shared" si="1"/>
        <v>5936.6100000000006</v>
      </c>
      <c r="P13" s="303">
        <f t="shared" si="1"/>
        <v>6399.6100000000006</v>
      </c>
      <c r="Q13" s="303">
        <f t="shared" si="1"/>
        <v>6577.6100000000006</v>
      </c>
      <c r="R13" s="303">
        <f t="shared" si="1"/>
        <v>6582.6100000000006</v>
      </c>
      <c r="S13" s="303">
        <f t="shared" si="1"/>
        <v>6414.6100000000006</v>
      </c>
      <c r="T13" s="303">
        <f t="shared" si="1"/>
        <v>7525.6100000000006</v>
      </c>
      <c r="U13" s="303">
        <f t="shared" si="1"/>
        <v>7125.6100000000006</v>
      </c>
      <c r="V13" s="303">
        <f t="shared" si="1"/>
        <v>6399.6100000000006</v>
      </c>
      <c r="W13" s="303">
        <f t="shared" si="1"/>
        <v>6577.6100000000006</v>
      </c>
      <c r="X13" s="303">
        <f t="shared" si="1"/>
        <v>6582.6100000000006</v>
      </c>
      <c r="Y13" s="303">
        <f t="shared" si="1"/>
        <v>6414.6100000000006</v>
      </c>
      <c r="Z13" s="303">
        <f t="shared" si="1"/>
        <v>7125.6100000000006</v>
      </c>
    </row>
    <row r="14" spans="1:26" ht="13.5" x14ac:dyDescent="0.3">
      <c r="A14" s="302" t="s">
        <v>407</v>
      </c>
      <c r="B14" s="303">
        <f>+AMORTIZACION!B6</f>
        <v>10000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</row>
    <row r="15" spans="1:26" ht="13.5" x14ac:dyDescent="0.3">
      <c r="A15" s="302" t="s">
        <v>408</v>
      </c>
      <c r="B15" s="303"/>
      <c r="C15" s="303">
        <f>+AMORTIZACION!C47</f>
        <v>707.0231330406707</v>
      </c>
      <c r="D15" s="303">
        <f>+AMORTIZACION!C48</f>
        <v>716.32999169218431</v>
      </c>
      <c r="E15" s="303">
        <f>+AMORTIZACION!C49</f>
        <v>725.75936064627695</v>
      </c>
      <c r="F15" s="303">
        <f>+AMORTIZACION!C50</f>
        <v>735.31285256032334</v>
      </c>
      <c r="G15" s="303">
        <f>+AMORTIZACION!C51</f>
        <v>744.99210131982102</v>
      </c>
      <c r="H15" s="303">
        <f>+AMORTIZACION!C52</f>
        <v>754.79876231782657</v>
      </c>
      <c r="I15" s="303">
        <f>+AMORTIZACION!C53</f>
        <v>764.73451273806825</v>
      </c>
      <c r="J15" s="303">
        <f>+AMORTIZACION!C54</f>
        <v>774.80105184178649</v>
      </c>
      <c r="K15" s="303">
        <f>+AMORTIZACION!C55</f>
        <v>785.00010125835024</v>
      </c>
      <c r="L15" s="303">
        <f>+AMORTIZACION!C56</f>
        <v>3291.2481325846911</v>
      </c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</row>
    <row r="16" spans="1:26" ht="13.5" x14ac:dyDescent="0.3">
      <c r="A16" s="302" t="s">
        <v>409</v>
      </c>
      <c r="B16" s="303"/>
      <c r="C16" s="303">
        <f>+AMORTIZACION!D47</f>
        <v>131.63442915209657</v>
      </c>
      <c r="D16" s="303">
        <f>+AMORTIZACION!D48</f>
        <v>122.32757050058296</v>
      </c>
      <c r="E16" s="303">
        <f>+AMORTIZACION!D49</f>
        <v>112.89820154649033</v>
      </c>
      <c r="F16" s="303">
        <f>+AMORTIZACION!D50</f>
        <v>103.34470963244394</v>
      </c>
      <c r="G16" s="303">
        <f>+AMORTIZACION!D51</f>
        <v>93.665460872946255</v>
      </c>
      <c r="H16" s="303">
        <f>+AMORTIZACION!D52</f>
        <v>83.858799874940701</v>
      </c>
      <c r="I16" s="303">
        <f>+AMORTIZACION!D53</f>
        <v>73.923049454699026</v>
      </c>
      <c r="J16" s="303">
        <f>+AMORTIZACION!D54</f>
        <v>63.856510350980784</v>
      </c>
      <c r="K16" s="303">
        <f>+AMORTIZACION!D55</f>
        <v>53.657460934417031</v>
      </c>
      <c r="L16" s="303">
        <f>+AMORTIZACION!D56</f>
        <v>43.324156913068961</v>
      </c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</row>
    <row r="17" spans="1:26" ht="13.5" x14ac:dyDescent="0.3">
      <c r="A17" s="302"/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</row>
    <row r="18" spans="1:26" ht="13.5" x14ac:dyDescent="0.3">
      <c r="A18" s="302" t="s">
        <v>410</v>
      </c>
      <c r="B18" s="303">
        <f>B13+B14</f>
        <v>-43946.240000000005</v>
      </c>
      <c r="C18" s="303">
        <f>C13-C15-C16</f>
        <v>4552.9524378072338</v>
      </c>
      <c r="D18" s="303">
        <f t="shared" ref="D18:Z18" si="2">D13-D15-D16</f>
        <v>5497.9524378072338</v>
      </c>
      <c r="E18" s="303">
        <f t="shared" si="2"/>
        <v>5560.9524378072329</v>
      </c>
      <c r="F18" s="303">
        <f t="shared" si="2"/>
        <v>5738.9524378072329</v>
      </c>
      <c r="G18" s="303">
        <f t="shared" si="2"/>
        <v>5743.9524378072338</v>
      </c>
      <c r="H18" s="303">
        <f t="shared" si="2"/>
        <v>5575.9524378072329</v>
      </c>
      <c r="I18" s="303">
        <f t="shared" si="2"/>
        <v>6286.9524378072329</v>
      </c>
      <c r="J18" s="303">
        <f t="shared" si="2"/>
        <v>5497.9524378072329</v>
      </c>
      <c r="K18" s="303">
        <f t="shared" si="2"/>
        <v>5560.9524378072329</v>
      </c>
      <c r="L18" s="303">
        <f t="shared" si="2"/>
        <v>3243.0377105022403</v>
      </c>
      <c r="M18" s="303">
        <f t="shared" si="2"/>
        <v>6582.6100000000006</v>
      </c>
      <c r="N18" s="303">
        <f t="shared" si="2"/>
        <v>7525.6100000000006</v>
      </c>
      <c r="O18" s="303">
        <f t="shared" si="2"/>
        <v>5936.6100000000006</v>
      </c>
      <c r="P18" s="303">
        <f t="shared" si="2"/>
        <v>6399.6100000000006</v>
      </c>
      <c r="Q18" s="303">
        <f t="shared" si="2"/>
        <v>6577.6100000000006</v>
      </c>
      <c r="R18" s="303">
        <f t="shared" si="2"/>
        <v>6582.6100000000006</v>
      </c>
      <c r="S18" s="303">
        <f t="shared" si="2"/>
        <v>6414.6100000000006</v>
      </c>
      <c r="T18" s="303">
        <f t="shared" si="2"/>
        <v>7525.6100000000006</v>
      </c>
      <c r="U18" s="303">
        <f t="shared" si="2"/>
        <v>7125.6100000000006</v>
      </c>
      <c r="V18" s="303">
        <f t="shared" si="2"/>
        <v>6399.6100000000006</v>
      </c>
      <c r="W18" s="303">
        <f t="shared" si="2"/>
        <v>6577.6100000000006</v>
      </c>
      <c r="X18" s="303">
        <f t="shared" si="2"/>
        <v>6582.6100000000006</v>
      </c>
      <c r="Y18" s="303">
        <f t="shared" si="2"/>
        <v>6414.6100000000006</v>
      </c>
      <c r="Z18" s="303">
        <f t="shared" si="2"/>
        <v>7125.6100000000006</v>
      </c>
    </row>
    <row r="19" spans="1:26" ht="13.5" x14ac:dyDescent="0.3">
      <c r="A19" s="302" t="s">
        <v>411</v>
      </c>
      <c r="B19" s="303">
        <f>+FINANCIAMIENTO!D6</f>
        <v>43946.240000000005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</row>
    <row r="20" spans="1:26" ht="13.5" x14ac:dyDescent="0.3">
      <c r="A20" s="304" t="s">
        <v>412</v>
      </c>
      <c r="B20" s="305">
        <v>0</v>
      </c>
      <c r="C20" s="212">
        <f>C18</f>
        <v>4552.9524378072338</v>
      </c>
      <c r="D20" s="212">
        <f>C20+D18</f>
        <v>10050.904875614468</v>
      </c>
      <c r="E20" s="212">
        <f t="shared" ref="E20:Z20" si="3">D20+E18</f>
        <v>15611.8573134217</v>
      </c>
      <c r="F20" s="212">
        <f t="shared" si="3"/>
        <v>21350.809751228931</v>
      </c>
      <c r="G20" s="212">
        <f t="shared" si="3"/>
        <v>27094.762189036166</v>
      </c>
      <c r="H20" s="212">
        <f t="shared" si="3"/>
        <v>32670.714626843401</v>
      </c>
      <c r="I20" s="212">
        <f t="shared" si="3"/>
        <v>38957.667064650632</v>
      </c>
      <c r="J20" s="212">
        <f t="shared" si="3"/>
        <v>44455.619502457863</v>
      </c>
      <c r="K20" s="212">
        <f t="shared" si="3"/>
        <v>50016.571940265094</v>
      </c>
      <c r="L20" s="212">
        <f t="shared" si="3"/>
        <v>53259.609650767336</v>
      </c>
      <c r="M20" s="212">
        <f t="shared" si="3"/>
        <v>59842.219650767336</v>
      </c>
      <c r="N20" s="212">
        <f t="shared" si="3"/>
        <v>67367.829650767337</v>
      </c>
      <c r="O20" s="212">
        <f t="shared" si="3"/>
        <v>73304.439650767337</v>
      </c>
      <c r="P20" s="212">
        <f t="shared" si="3"/>
        <v>79704.049650767338</v>
      </c>
      <c r="Q20" s="212">
        <f t="shared" si="3"/>
        <v>86281.659650767338</v>
      </c>
      <c r="R20" s="212">
        <f t="shared" si="3"/>
        <v>92864.269650767339</v>
      </c>
      <c r="S20" s="212">
        <f t="shared" si="3"/>
        <v>99278.87965076734</v>
      </c>
      <c r="T20" s="212">
        <f t="shared" si="3"/>
        <v>106804.48965076734</v>
      </c>
      <c r="U20" s="212">
        <f t="shared" si="3"/>
        <v>113930.09965076734</v>
      </c>
      <c r="V20" s="212">
        <f t="shared" si="3"/>
        <v>120329.70965076734</v>
      </c>
      <c r="W20" s="212">
        <f t="shared" si="3"/>
        <v>126907.31965076734</v>
      </c>
      <c r="X20" s="212">
        <f t="shared" si="3"/>
        <v>133489.92965076736</v>
      </c>
      <c r="Y20" s="212">
        <f t="shared" si="3"/>
        <v>139904.53965076734</v>
      </c>
      <c r="Z20" s="212">
        <f t="shared" si="3"/>
        <v>147030.14965076733</v>
      </c>
    </row>
    <row r="21" spans="1:26" ht="14.25" x14ac:dyDescent="0.3">
      <c r="A21" s="356" t="s">
        <v>413</v>
      </c>
      <c r="B21" s="357">
        <f>IRR(B18:Z18)</f>
        <v>0.12178897672286793</v>
      </c>
      <c r="F21" s="265"/>
    </row>
    <row r="22" spans="1:26" ht="16.5" x14ac:dyDescent="0.3">
      <c r="A22" s="356" t="s">
        <v>414</v>
      </c>
      <c r="B22" s="358">
        <f>NPV(Z3,B18:Z18)</f>
        <v>7219.5754510949746</v>
      </c>
      <c r="D22"/>
    </row>
    <row r="23" spans="1:26" ht="15" x14ac:dyDescent="0.3">
      <c r="A23" s="356" t="s">
        <v>415</v>
      </c>
      <c r="B23" s="357">
        <f>IRR(B13:Z13)</f>
        <v>0.10960719835151234</v>
      </c>
      <c r="C23" s="494" t="s">
        <v>660</v>
      </c>
      <c r="D23" s="496"/>
      <c r="E23" s="496"/>
      <c r="F23" s="496"/>
      <c r="G23" s="496"/>
      <c r="H23" s="496"/>
      <c r="I23" s="496"/>
      <c r="J23" s="496"/>
      <c r="K23" s="496"/>
      <c r="L23" s="496"/>
      <c r="M23" s="496"/>
      <c r="N23" s="496"/>
      <c r="O23" s="496"/>
      <c r="P23" s="496"/>
      <c r="Q23" s="496"/>
      <c r="R23" s="496"/>
      <c r="S23" s="496"/>
      <c r="T23" s="496"/>
    </row>
    <row r="24" spans="1:26" ht="16.5" customHeight="1" x14ac:dyDescent="0.3">
      <c r="A24" s="356" t="s">
        <v>416</v>
      </c>
      <c r="B24" s="359">
        <f>NPV(Z3,B13:Z13)</f>
        <v>3688.1853090049131</v>
      </c>
      <c r="C24" s="494" t="s">
        <v>648</v>
      </c>
      <c r="D24" s="495"/>
      <c r="E24" s="495"/>
      <c r="F24" s="495"/>
      <c r="G24" s="495"/>
      <c r="I24" s="272"/>
    </row>
    <row r="25" spans="1:26" ht="13.5" x14ac:dyDescent="0.3">
      <c r="A25" s="315" t="s">
        <v>417</v>
      </c>
      <c r="B25" s="629" t="s">
        <v>662</v>
      </c>
      <c r="C25" s="629"/>
      <c r="D25" s="216"/>
      <c r="E25" s="216"/>
      <c r="F25" s="216"/>
      <c r="G25" s="216"/>
      <c r="H25" s="216"/>
      <c r="I25" s="216"/>
      <c r="J25" s="216"/>
      <c r="K25" s="216"/>
      <c r="L25" s="216"/>
    </row>
    <row r="29" spans="1:26" ht="18.75" x14ac:dyDescent="0.3">
      <c r="A29" s="630" t="s">
        <v>417</v>
      </c>
      <c r="B29" s="630"/>
      <c r="C29" s="630"/>
      <c r="D29" s="630"/>
      <c r="E29" s="630"/>
      <c r="F29" s="630"/>
    </row>
    <row r="30" spans="1:26" ht="13.5" x14ac:dyDescent="0.3">
      <c r="A30" s="351" t="s">
        <v>336</v>
      </c>
      <c r="B30" s="351" t="s">
        <v>418</v>
      </c>
      <c r="C30" s="351" t="s">
        <v>419</v>
      </c>
      <c r="D30" s="351" t="s">
        <v>420</v>
      </c>
      <c r="E30" s="351" t="s">
        <v>421</v>
      </c>
      <c r="F30" s="352" t="s">
        <v>422</v>
      </c>
    </row>
    <row r="31" spans="1:26" ht="15" x14ac:dyDescent="0.3">
      <c r="A31" s="306">
        <v>0</v>
      </c>
      <c r="B31" s="307">
        <f>+'INVERSION TOTAL'!E72</f>
        <v>53946.240000000005</v>
      </c>
      <c r="C31" s="306"/>
      <c r="D31" s="308">
        <f>+'EVALUACION COSTO BENEFICIO'!D4</f>
        <v>1</v>
      </c>
      <c r="E31" s="306"/>
      <c r="F31" s="306"/>
    </row>
    <row r="32" spans="1:26" x14ac:dyDescent="0.25">
      <c r="A32" s="306">
        <v>1</v>
      </c>
      <c r="B32" s="306"/>
      <c r="C32" s="308">
        <f>+'ESTADO DE GANANCIAS Y PERDIDAS'!B13</f>
        <v>5391.6100000000006</v>
      </c>
      <c r="D32" s="308">
        <f>+'EVALUACION COSTO BENEFICIO'!D5</f>
        <v>0.98231827111984282</v>
      </c>
      <c r="E32" s="309">
        <f>C32*D32</f>
        <v>5296.2770137524567</v>
      </c>
      <c r="F32" s="309">
        <f>E32</f>
        <v>5296.2770137524567</v>
      </c>
    </row>
    <row r="33" spans="1:6" x14ac:dyDescent="0.25">
      <c r="A33" s="306">
        <v>2</v>
      </c>
      <c r="B33" s="306"/>
      <c r="C33" s="308">
        <f>+'ESTADO DE GANANCIAS Y PERDIDAS'!C13</f>
        <v>6336.6100000000006</v>
      </c>
      <c r="D33" s="308">
        <f>+'EVALUACION COSTO BENEFICIO'!D6</f>
        <v>0.96494918577587707</v>
      </c>
      <c r="E33" s="309">
        <f t="shared" ref="E33:E55" si="4">C33*D33</f>
        <v>6114.5066600792807</v>
      </c>
      <c r="F33" s="309">
        <f>F32+E33</f>
        <v>11410.783673831738</v>
      </c>
    </row>
    <row r="34" spans="1:6" x14ac:dyDescent="0.25">
      <c r="A34" s="306">
        <v>3</v>
      </c>
      <c r="B34" s="306"/>
      <c r="C34" s="308">
        <f>+'ESTADO DE GANANCIAS Y PERDIDAS'!D13</f>
        <v>6399.6100000000006</v>
      </c>
      <c r="D34" s="308">
        <f>+'EVALUACION COSTO BENEFICIO'!D7</f>
        <v>0.94788721588985947</v>
      </c>
      <c r="E34" s="309">
        <f t="shared" si="4"/>
        <v>6066.1085056809043</v>
      </c>
      <c r="F34" s="309">
        <f>F33+E34</f>
        <v>17476.892179512644</v>
      </c>
    </row>
    <row r="35" spans="1:6" x14ac:dyDescent="0.25">
      <c r="A35" s="306">
        <v>4</v>
      </c>
      <c r="B35" s="306"/>
      <c r="C35" s="308">
        <f>+'ESTADO DE GANANCIAS Y PERDIDAS'!E13</f>
        <v>6577.6100000000006</v>
      </c>
      <c r="D35" s="308">
        <f>+'EVALUACION COSTO BENEFICIO'!D8</f>
        <v>0.93112693112952805</v>
      </c>
      <c r="E35" s="309">
        <f t="shared" si="4"/>
        <v>6124.5898134668951</v>
      </c>
      <c r="F35" s="309">
        <f t="shared" ref="F35:F55" si="5">F34+E35</f>
        <v>23601.481992979541</v>
      </c>
    </row>
    <row r="36" spans="1:6" x14ac:dyDescent="0.25">
      <c r="A36" s="306">
        <v>5</v>
      </c>
      <c r="B36" s="306"/>
      <c r="C36" s="308">
        <f>+'ESTADO DE GANANCIAS Y PERDIDAS'!F13</f>
        <v>6582.6100000000006</v>
      </c>
      <c r="D36" s="308">
        <f>+'EVALUACION COSTO BENEFICIO'!D9</f>
        <v>0.91466299718028288</v>
      </c>
      <c r="E36" s="309">
        <f t="shared" si="4"/>
        <v>6020.8697918689022</v>
      </c>
      <c r="F36" s="309">
        <f t="shared" si="5"/>
        <v>29622.351784848444</v>
      </c>
    </row>
    <row r="37" spans="1:6" x14ac:dyDescent="0.25">
      <c r="A37" s="306">
        <v>6</v>
      </c>
      <c r="B37" s="306"/>
      <c r="C37" s="308">
        <f>+'ESTADO DE GANANCIAS Y PERDIDAS'!G13</f>
        <v>6414.6100000000006</v>
      </c>
      <c r="D37" s="308">
        <f>+'EVALUACION COSTO BENEFICIO'!D10</f>
        <v>0.89849017404742926</v>
      </c>
      <c r="E37" s="309">
        <f t="shared" si="4"/>
        <v>5763.4640553463805</v>
      </c>
      <c r="F37" s="309">
        <f t="shared" si="5"/>
        <v>35385.815840194824</v>
      </c>
    </row>
    <row r="38" spans="1:6" x14ac:dyDescent="0.25">
      <c r="A38" s="306">
        <v>7</v>
      </c>
      <c r="B38" s="306"/>
      <c r="C38" s="308">
        <f>+'ESTADO DE GANANCIAS Y PERDIDAS'!H13</f>
        <v>7125.6100000000006</v>
      </c>
      <c r="D38" s="308">
        <f>+'EVALUACION COSTO BENEFICIO'!D11</f>
        <v>0.8826033143884372</v>
      </c>
      <c r="E38" s="309">
        <f t="shared" si="4"/>
        <v>6289.0870030393926</v>
      </c>
      <c r="F38" s="309">
        <f t="shared" si="5"/>
        <v>41674.902843234217</v>
      </c>
    </row>
    <row r="39" spans="1:6" x14ac:dyDescent="0.25">
      <c r="A39" s="306">
        <v>8</v>
      </c>
      <c r="B39" s="306"/>
      <c r="C39" s="308">
        <f>+'ESTADO DE GANANCIAS Y PERDIDAS'!I13</f>
        <v>6336.6100000000006</v>
      </c>
      <c r="D39" s="308">
        <f>+'EVALUACION COSTO BENEFICIO'!D12</f>
        <v>0.86699736187469278</v>
      </c>
      <c r="E39" s="309">
        <f t="shared" si="4"/>
        <v>5493.8241532287975</v>
      </c>
      <c r="F39" s="309">
        <f t="shared" si="5"/>
        <v>47168.72699646301</v>
      </c>
    </row>
    <row r="40" spans="1:6" x14ac:dyDescent="0.25">
      <c r="A40" s="306">
        <v>9</v>
      </c>
      <c r="B40" s="306"/>
      <c r="C40" s="308">
        <f>+'ESTADO DE GANANCIAS Y PERDIDAS'!J13</f>
        <v>6399.6100000000006</v>
      </c>
      <c r="D40" s="308">
        <f>+'EVALUACION COSTO BENEFICIO'!D13</f>
        <v>0.85166734958221302</v>
      </c>
      <c r="E40" s="309">
        <f t="shared" si="4"/>
        <v>5450.3388870598264</v>
      </c>
      <c r="F40" s="309">
        <f t="shared" si="5"/>
        <v>52619.065883522839</v>
      </c>
    </row>
    <row r="41" spans="1:6" ht="15" x14ac:dyDescent="0.3">
      <c r="A41" s="306">
        <v>10</v>
      </c>
      <c r="B41" s="306"/>
      <c r="C41" s="308">
        <f>+'ESTADO DE GANANCIAS Y PERDIDAS'!K13</f>
        <v>6577.6100000000006</v>
      </c>
      <c r="D41" s="308">
        <f>+'EVALUACION COSTO BENEFICIO'!D14</f>
        <v>0.83660839841081813</v>
      </c>
      <c r="E41" s="309">
        <f t="shared" si="4"/>
        <v>5502.8837674709821</v>
      </c>
      <c r="F41" s="549">
        <f t="shared" si="5"/>
        <v>58121.949650993818</v>
      </c>
    </row>
    <row r="42" spans="1:6" x14ac:dyDescent="0.25">
      <c r="A42" s="306">
        <v>11</v>
      </c>
      <c r="B42" s="306"/>
      <c r="C42" s="308">
        <f>+'ESTADO DE GANANCIAS Y PERDIDAS'!L13</f>
        <v>6582.6100000000006</v>
      </c>
      <c r="D42" s="308">
        <f>+'EVALUACION COSTO BENEFICIO'!D15</f>
        <v>0.82181571553125565</v>
      </c>
      <c r="E42" s="309">
        <f t="shared" si="4"/>
        <v>5409.6923472131994</v>
      </c>
      <c r="F42" s="309">
        <f t="shared" si="5"/>
        <v>63531.641998207015</v>
      </c>
    </row>
    <row r="43" spans="1:6" x14ac:dyDescent="0.25">
      <c r="A43" s="306">
        <v>12</v>
      </c>
      <c r="B43" s="306"/>
      <c r="C43" s="308">
        <f>+'ESTADO DE GANANCIAS Y PERDIDAS'!M13</f>
        <v>7525.6100000000006</v>
      </c>
      <c r="D43" s="308">
        <f>+'EVALUACION COSTO BENEFICIO'!D16</f>
        <v>0.8072845928597796</v>
      </c>
      <c r="E43" s="309">
        <f t="shared" si="4"/>
        <v>6075.3090048714866</v>
      </c>
      <c r="F43" s="309">
        <f t="shared" si="5"/>
        <v>69606.951003078502</v>
      </c>
    </row>
    <row r="44" spans="1:6" x14ac:dyDescent="0.25">
      <c r="A44" s="306">
        <v>13</v>
      </c>
      <c r="B44" s="306"/>
      <c r="C44" s="308">
        <f>+'ESTADO DE GANANCIAS Y PERDIDAS'!N13</f>
        <v>5936.6100000000006</v>
      </c>
      <c r="D44" s="308">
        <f>+'EVALUACION COSTO BENEFICIO'!D17</f>
        <v>0.79301040555970481</v>
      </c>
      <c r="E44" s="309">
        <f t="shared" si="4"/>
        <v>4707.7935037498</v>
      </c>
      <c r="F44" s="309">
        <f t="shared" si="5"/>
        <v>74314.744506828298</v>
      </c>
    </row>
    <row r="45" spans="1:6" x14ac:dyDescent="0.25">
      <c r="A45" s="306">
        <v>14</v>
      </c>
      <c r="B45" s="306"/>
      <c r="C45" s="308">
        <f>+'ESTADO DE GANANCIAS Y PERDIDAS'!O13</f>
        <v>6399.6100000000006</v>
      </c>
      <c r="D45" s="308">
        <f>+'EVALUACION COSTO BENEFICIO'!D18</f>
        <v>0.77898861056945468</v>
      </c>
      <c r="E45" s="309">
        <f t="shared" si="4"/>
        <v>4985.2233020863887</v>
      </c>
      <c r="F45" s="309">
        <f t="shared" si="5"/>
        <v>79299.967808914691</v>
      </c>
    </row>
    <row r="46" spans="1:6" x14ac:dyDescent="0.25">
      <c r="A46" s="306">
        <v>15</v>
      </c>
      <c r="B46" s="306"/>
      <c r="C46" s="308">
        <f>+'ESTADO DE GANANCIAS Y PERDIDAS'!P13</f>
        <v>6577.6100000000006</v>
      </c>
      <c r="D46" s="308">
        <f>+'EVALUACION COSTO BENEFICIO'!D19</f>
        <v>0.76521474515663512</v>
      </c>
      <c r="E46" s="309">
        <f t="shared" si="4"/>
        <v>5033.2841598897348</v>
      </c>
      <c r="F46" s="309">
        <f t="shared" si="5"/>
        <v>84333.251968804427</v>
      </c>
    </row>
    <row r="47" spans="1:6" x14ac:dyDescent="0.25">
      <c r="A47" s="306">
        <v>16</v>
      </c>
      <c r="B47" s="306"/>
      <c r="C47" s="308">
        <f>+'ESTADO DE GANANCIAS Y PERDIDAS'!Q13</f>
        <v>6582.6100000000006</v>
      </c>
      <c r="D47" s="308">
        <f>+'EVALUACION COSTO BENEFICIO'!D20</f>
        <v>0.751684425497677</v>
      </c>
      <c r="E47" s="309">
        <f t="shared" si="4"/>
        <v>4948.0454161252637</v>
      </c>
      <c r="F47" s="309">
        <f t="shared" si="5"/>
        <v>89281.297384929698</v>
      </c>
    </row>
    <row r="48" spans="1:6" x14ac:dyDescent="0.25">
      <c r="A48" s="306">
        <v>17</v>
      </c>
      <c r="B48" s="306"/>
      <c r="C48" s="308">
        <f>+'ESTADO DE GANANCIAS Y PERDIDAS'!R13</f>
        <v>6414.6100000000006</v>
      </c>
      <c r="D48" s="308">
        <f>+'EVALUACION COSTO BENEFICIO'!D21</f>
        <v>0.73839334528259037</v>
      </c>
      <c r="E48" s="309">
        <f t="shared" si="4"/>
        <v>4736.5053365831573</v>
      </c>
      <c r="F48" s="309">
        <f t="shared" si="5"/>
        <v>94017.802721512853</v>
      </c>
    </row>
    <row r="49" spans="1:6" x14ac:dyDescent="0.25">
      <c r="A49" s="306">
        <v>18</v>
      </c>
      <c r="B49" s="306"/>
      <c r="C49" s="308">
        <f>+'ESTADO DE GANANCIAS Y PERDIDAS'!S13</f>
        <v>7525.6100000000006</v>
      </c>
      <c r="D49" s="308">
        <f>+'EVALUACION COSTO BENEFICIO'!D22</f>
        <v>0.72533727434439133</v>
      </c>
      <c r="E49" s="309">
        <f t="shared" si="4"/>
        <v>5458.605445178895</v>
      </c>
      <c r="F49" s="309">
        <f t="shared" si="5"/>
        <v>99476.408166691748</v>
      </c>
    </row>
    <row r="50" spans="1:6" x14ac:dyDescent="0.25">
      <c r="A50" s="306">
        <v>19</v>
      </c>
      <c r="B50" s="306"/>
      <c r="C50" s="308">
        <f>+'ESTADO DE GANANCIAS Y PERDIDAS'!T13</f>
        <v>7125.6100000000006</v>
      </c>
      <c r="D50" s="308">
        <f>+'EVALUACION COSTO BENEFICIO'!D23</f>
        <v>0.71251205731276168</v>
      </c>
      <c r="E50" s="309">
        <f t="shared" si="4"/>
        <v>5077.0830407083886</v>
      </c>
      <c r="F50" s="309">
        <f t="shared" si="5"/>
        <v>104553.49120740013</v>
      </c>
    </row>
    <row r="51" spans="1:6" x14ac:dyDescent="0.25">
      <c r="A51" s="306">
        <v>20</v>
      </c>
      <c r="B51" s="306"/>
      <c r="C51" s="308">
        <f>+'ESTADO DE GANANCIAS Y PERDIDAS'!U13</f>
        <v>6399.6100000000006</v>
      </c>
      <c r="D51" s="308">
        <f>+'EVALUACION COSTO BENEFICIO'!D24</f>
        <v>0.69991361229151428</v>
      </c>
      <c r="E51" s="309">
        <f t="shared" si="4"/>
        <v>4479.174152356898</v>
      </c>
      <c r="F51" s="309">
        <f t="shared" si="5"/>
        <v>109032.66535975703</v>
      </c>
    </row>
    <row r="52" spans="1:6" x14ac:dyDescent="0.25">
      <c r="A52" s="306">
        <v>21</v>
      </c>
      <c r="B52" s="306"/>
      <c r="C52" s="308">
        <f>+'ESTADO DE GANANCIAS Y PERDIDAS'!V13</f>
        <v>6577.6100000000006</v>
      </c>
      <c r="D52" s="308">
        <f>+'EVALUACION COSTO BENEFICIO'!D25</f>
        <v>0.68753792955944426</v>
      </c>
      <c r="E52" s="309">
        <f t="shared" si="4"/>
        <v>4522.3563608494969</v>
      </c>
      <c r="F52" s="309">
        <f t="shared" si="5"/>
        <v>113555.02172060653</v>
      </c>
    </row>
    <row r="53" spans="1:6" x14ac:dyDescent="0.25">
      <c r="A53" s="306">
        <v>22</v>
      </c>
      <c r="B53" s="306"/>
      <c r="C53" s="308">
        <f>+'ESTADO DE GANANCIAS Y PERDIDAS'!W13</f>
        <v>6582.6100000000006</v>
      </c>
      <c r="D53" s="308">
        <f>+'EVALUACION COSTO BENEFICIO'!D26</f>
        <v>0.67538107029414973</v>
      </c>
      <c r="E53" s="309">
        <f t="shared" si="4"/>
        <v>4445.7701871289737</v>
      </c>
      <c r="F53" s="309">
        <f t="shared" si="5"/>
        <v>118000.7919077355</v>
      </c>
    </row>
    <row r="54" spans="1:6" x14ac:dyDescent="0.25">
      <c r="A54" s="306">
        <v>23</v>
      </c>
      <c r="B54" s="306"/>
      <c r="C54" s="308">
        <f>+'ESTADO DE GANANCIAS Y PERDIDAS'!X13</f>
        <v>6414.6100000000006</v>
      </c>
      <c r="D54" s="308">
        <f>+'EVALUACION COSTO BENEFICIO'!D27</f>
        <v>0.66343916531841796</v>
      </c>
      <c r="E54" s="309">
        <f t="shared" si="4"/>
        <v>4255.7035042431771</v>
      </c>
      <c r="F54" s="309">
        <f t="shared" si="5"/>
        <v>122256.49541197869</v>
      </c>
    </row>
    <row r="55" spans="1:6" x14ac:dyDescent="0.25">
      <c r="A55" s="306">
        <v>24</v>
      </c>
      <c r="B55" s="306"/>
      <c r="C55" s="308">
        <f>+'ESTADO DE GANANCIAS Y PERDIDAS'!Y13</f>
        <v>7125.6100000000006</v>
      </c>
      <c r="D55" s="308">
        <f>+'EVALUACION COSTO BENEFICIO'!D28</f>
        <v>0.65170841386878009</v>
      </c>
      <c r="E55" s="309">
        <f t="shared" si="4"/>
        <v>4643.8199909475188</v>
      </c>
      <c r="F55" s="309">
        <f t="shared" si="5"/>
        <v>126900.31540292621</v>
      </c>
    </row>
    <row r="56" spans="1:6" x14ac:dyDescent="0.25">
      <c r="A56" s="306"/>
      <c r="B56" s="306"/>
      <c r="C56" s="306"/>
      <c r="D56" s="306"/>
      <c r="E56" s="306"/>
      <c r="F56" s="309">
        <f>SUM(F32:F55)</f>
        <v>1670539.0944287048</v>
      </c>
    </row>
    <row r="57" spans="1:6" x14ac:dyDescent="0.25">
      <c r="A57" s="306"/>
      <c r="B57" s="306"/>
      <c r="C57" s="306"/>
      <c r="D57" s="306"/>
      <c r="E57" s="310" t="s">
        <v>423</v>
      </c>
      <c r="F57" s="310">
        <f>F56/A55</f>
        <v>69605.795601196034</v>
      </c>
    </row>
    <row r="58" spans="1:6" ht="15" x14ac:dyDescent="0.3">
      <c r="F58" s="311">
        <f>B31/F41</f>
        <v>0.92815606365464698</v>
      </c>
    </row>
    <row r="59" spans="1:6" ht="15" x14ac:dyDescent="0.3">
      <c r="F59" s="312" t="s">
        <v>661</v>
      </c>
    </row>
  </sheetData>
  <mergeCells count="3">
    <mergeCell ref="B25:C25"/>
    <mergeCell ref="A29:F29"/>
    <mergeCell ref="A2:O2"/>
  </mergeCells>
  <hyperlinks>
    <hyperlink ref="A1" location="INDICE!A1" display="INDICE"/>
  </hyperlink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8433" r:id="rId4">
          <objectPr defaultSize="0" autoPict="0" r:id="rId5">
            <anchor moveWithCells="1" sizeWithCells="1">
              <from>
                <xdr:col>6</xdr:col>
                <xdr:colOff>466725</xdr:colOff>
                <xdr:row>28</xdr:row>
                <xdr:rowOff>228600</xdr:rowOff>
              </from>
              <to>
                <xdr:col>11</xdr:col>
                <xdr:colOff>200025</xdr:colOff>
                <xdr:row>31</xdr:row>
                <xdr:rowOff>57150</xdr:rowOff>
              </to>
            </anchor>
          </objectPr>
        </oleObject>
      </mc:Choice>
      <mc:Fallback>
        <oleObject progId="Equation.3" shapeId="18433" r:id="rId4"/>
      </mc:Fallback>
    </mc:AlternateContent>
    <mc:AlternateContent xmlns:mc="http://schemas.openxmlformats.org/markup-compatibility/2006">
      <mc:Choice Requires="x14">
        <oleObject progId="Equation.3" shapeId="18434" r:id="rId6">
          <objectPr defaultSize="0" autoPict="0" r:id="rId7">
            <anchor moveWithCells="1" sizeWithCells="1">
              <from>
                <xdr:col>6</xdr:col>
                <xdr:colOff>476250</xdr:colOff>
                <xdr:row>31</xdr:row>
                <xdr:rowOff>142875</xdr:rowOff>
              </from>
              <to>
                <xdr:col>11</xdr:col>
                <xdr:colOff>723900</xdr:colOff>
                <xdr:row>34</xdr:row>
                <xdr:rowOff>95250</xdr:rowOff>
              </to>
            </anchor>
          </objectPr>
        </oleObject>
      </mc:Choice>
      <mc:Fallback>
        <oleObject progId="Equation.3" shapeId="18434" r:id="rId6"/>
      </mc:Fallback>
    </mc:AlternateContent>
  </oleObject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00FF"/>
  </sheetPr>
  <dimension ref="A1:J35"/>
  <sheetViews>
    <sheetView topLeftCell="A13" workbookViewId="0">
      <selection activeCell="E17" sqref="E17"/>
    </sheetView>
  </sheetViews>
  <sheetFormatPr baseColWidth="10" defaultRowHeight="13.5" x14ac:dyDescent="0.25"/>
  <cols>
    <col min="1" max="1" width="6.5" style="263" customWidth="1"/>
    <col min="2" max="2" width="11.875" style="263" customWidth="1"/>
    <col min="3" max="3" width="11.625" style="263" customWidth="1"/>
    <col min="4" max="4" width="8.25" style="263" customWidth="1"/>
    <col min="5" max="5" width="15.375" style="263" customWidth="1"/>
    <col min="6" max="6" width="17.25" style="263" customWidth="1"/>
    <col min="7" max="16384" width="11" style="263"/>
  </cols>
  <sheetData>
    <row r="1" spans="1:7" ht="21" x14ac:dyDescent="0.35">
      <c r="A1" s="605" t="s">
        <v>335</v>
      </c>
      <c r="B1" s="605"/>
      <c r="C1" s="605"/>
      <c r="D1" s="605"/>
      <c r="E1" s="605"/>
      <c r="F1" s="605"/>
      <c r="G1" s="514" t="s">
        <v>464</v>
      </c>
    </row>
    <row r="2" spans="1:7" ht="14.25" x14ac:dyDescent="0.3">
      <c r="A2" s="264"/>
      <c r="B2" s="264"/>
      <c r="C2" s="265"/>
      <c r="D2" s="265"/>
      <c r="E2" s="265"/>
      <c r="F2" s="265"/>
    </row>
    <row r="3" spans="1:7" ht="27" x14ac:dyDescent="0.25">
      <c r="A3" s="338" t="s">
        <v>336</v>
      </c>
      <c r="B3" s="338" t="s">
        <v>337</v>
      </c>
      <c r="C3" s="338" t="s">
        <v>338</v>
      </c>
      <c r="D3" s="338">
        <v>1.7999999999999999E-2</v>
      </c>
      <c r="E3" s="338" t="s">
        <v>339</v>
      </c>
      <c r="F3" s="338" t="s">
        <v>340</v>
      </c>
    </row>
    <row r="4" spans="1:7" x14ac:dyDescent="0.25">
      <c r="A4" s="266">
        <v>0</v>
      </c>
      <c r="B4" s="267"/>
      <c r="C4" s="267">
        <f>'FLUJO DE CAJA ECON FINAN'!B7</f>
        <v>53946.240000000005</v>
      </c>
      <c r="D4" s="268">
        <f>1/(1+$D$3)^A4</f>
        <v>1</v>
      </c>
      <c r="E4" s="267">
        <f>B4*D4</f>
        <v>0</v>
      </c>
      <c r="F4" s="267">
        <f>C4*D4</f>
        <v>53946.240000000005</v>
      </c>
    </row>
    <row r="5" spans="1:7" x14ac:dyDescent="0.25">
      <c r="A5" s="266">
        <v>1</v>
      </c>
      <c r="B5" s="267">
        <f>'FLUJO DE CAJA ECON FINAN'!C5</f>
        <v>55475</v>
      </c>
      <c r="C5" s="267">
        <f>'FLUJO DE CAJA ECON FINAN'!C7</f>
        <v>50083.39</v>
      </c>
      <c r="D5" s="268">
        <f>1/(1+$D$3)^A5</f>
        <v>0.98231827111984282</v>
      </c>
      <c r="E5" s="267">
        <f t="shared" ref="E5:E28" si="0">B5*D5</f>
        <v>54494.10609037328</v>
      </c>
      <c r="F5" s="267">
        <f t="shared" ref="F5:F28" si="1">C5*D5</f>
        <v>49197.829076620823</v>
      </c>
    </row>
    <row r="6" spans="1:7" x14ac:dyDescent="0.25">
      <c r="A6" s="266">
        <v>2</v>
      </c>
      <c r="B6" s="267">
        <f>'FLUJO DE CAJA ECON FINAN'!D5</f>
        <v>55920</v>
      </c>
      <c r="C6" s="267">
        <f>'FLUJO DE CAJA ECON FINAN'!D7</f>
        <v>49583.39</v>
      </c>
      <c r="D6" s="268">
        <f>1/(1+$D$3)^A6</f>
        <v>0.96494918577587707</v>
      </c>
      <c r="E6" s="267">
        <f t="shared" si="0"/>
        <v>53959.958468587043</v>
      </c>
      <c r="F6" s="267">
        <f t="shared" si="1"/>
        <v>47845.451808507765</v>
      </c>
    </row>
    <row r="7" spans="1:7" x14ac:dyDescent="0.25">
      <c r="A7" s="266">
        <v>3</v>
      </c>
      <c r="B7" s="267">
        <f>'FLUJO DE CAJA ECON FINAN'!E5</f>
        <v>55983</v>
      </c>
      <c r="C7" s="267">
        <f>'FLUJO DE CAJA ECON FINAN'!E7</f>
        <v>49583.39</v>
      </c>
      <c r="D7" s="268">
        <f t="shared" ref="D7:D28" si="2">1/(1+$D$3)^A7</f>
        <v>0.94788721588985947</v>
      </c>
      <c r="E7" s="267">
        <f t="shared" si="0"/>
        <v>53065.570007162001</v>
      </c>
      <c r="F7" s="267">
        <f t="shared" si="1"/>
        <v>46999.461501481099</v>
      </c>
    </row>
    <row r="8" spans="1:7" x14ac:dyDescent="0.25">
      <c r="A8" s="266">
        <v>4</v>
      </c>
      <c r="B8" s="267">
        <f>'FLUJO DE CAJA ECON FINAN'!F5</f>
        <v>56161</v>
      </c>
      <c r="C8" s="267">
        <f>'FLUJO DE CAJA ECON FINAN'!F7</f>
        <v>49583.39</v>
      </c>
      <c r="D8" s="268">
        <f t="shared" si="2"/>
        <v>0.93112693112952805</v>
      </c>
      <c r="E8" s="267">
        <f t="shared" si="0"/>
        <v>52293.019579165426</v>
      </c>
      <c r="F8" s="267">
        <f t="shared" si="1"/>
        <v>46168.429765698529</v>
      </c>
    </row>
    <row r="9" spans="1:7" x14ac:dyDescent="0.25">
      <c r="A9" s="266">
        <v>5</v>
      </c>
      <c r="B9" s="267">
        <f>'FLUJO DE CAJA ECON FINAN'!G5</f>
        <v>56166</v>
      </c>
      <c r="C9" s="267">
        <f>'FLUJO DE CAJA ECON FINAN'!G7</f>
        <v>49583.39</v>
      </c>
      <c r="D9" s="268">
        <f t="shared" si="2"/>
        <v>0.91466299718028288</v>
      </c>
      <c r="E9" s="267">
        <f t="shared" si="0"/>
        <v>51372.961899627771</v>
      </c>
      <c r="F9" s="267">
        <f t="shared" si="1"/>
        <v>45352.092107758865</v>
      </c>
    </row>
    <row r="10" spans="1:7" x14ac:dyDescent="0.25">
      <c r="A10" s="266">
        <v>6</v>
      </c>
      <c r="B10" s="267">
        <f>'FLUJO DE CAJA ECON FINAN'!H5</f>
        <v>55998</v>
      </c>
      <c r="C10" s="267">
        <f>'FLUJO DE CAJA ECON FINAN'!H7</f>
        <v>49583.39</v>
      </c>
      <c r="D10" s="268">
        <f t="shared" si="2"/>
        <v>0.89849017404742926</v>
      </c>
      <c r="E10" s="267">
        <f t="shared" si="0"/>
        <v>50313.652766307947</v>
      </c>
      <c r="F10" s="267">
        <f t="shared" si="1"/>
        <v>44550.188710961564</v>
      </c>
    </row>
    <row r="11" spans="1:7" x14ac:dyDescent="0.25">
      <c r="A11" s="266">
        <v>7</v>
      </c>
      <c r="B11" s="267">
        <f>'FLUJO DE CAJA ECON FINAN'!I5</f>
        <v>57109</v>
      </c>
      <c r="C11" s="267">
        <f>'FLUJO DE CAJA ECON FINAN'!I7</f>
        <v>49983.39</v>
      </c>
      <c r="D11" s="268">
        <f t="shared" si="2"/>
        <v>0.8826033143884372</v>
      </c>
      <c r="E11" s="267">
        <f t="shared" si="0"/>
        <v>50404.59268140926</v>
      </c>
      <c r="F11" s="267">
        <f t="shared" si="1"/>
        <v>44115.505678369867</v>
      </c>
    </row>
    <row r="12" spans="1:7" x14ac:dyDescent="0.25">
      <c r="A12" s="266">
        <v>8</v>
      </c>
      <c r="B12" s="267">
        <f>'FLUJO DE CAJA ECON FINAN'!J5</f>
        <v>55920</v>
      </c>
      <c r="C12" s="267">
        <f>'FLUJO DE CAJA ECON FINAN'!J7</f>
        <v>49583.39</v>
      </c>
      <c r="D12" s="268">
        <f t="shared" si="2"/>
        <v>0.86699736187469278</v>
      </c>
      <c r="E12" s="267">
        <f t="shared" si="0"/>
        <v>48482.492476032821</v>
      </c>
      <c r="F12" s="267">
        <f t="shared" si="1"/>
        <v>42988.66832280402</v>
      </c>
    </row>
    <row r="13" spans="1:7" x14ac:dyDescent="0.25">
      <c r="A13" s="266">
        <v>9</v>
      </c>
      <c r="B13" s="267">
        <f>'FLUJO DE CAJA ECON FINAN'!K5</f>
        <v>55983</v>
      </c>
      <c r="C13" s="267">
        <f>'FLUJO DE CAJA ECON FINAN'!K7</f>
        <v>49583.39</v>
      </c>
      <c r="D13" s="268">
        <f t="shared" si="2"/>
        <v>0.85166734958221302</v>
      </c>
      <c r="E13" s="267">
        <f t="shared" si="0"/>
        <v>47678.89323166103</v>
      </c>
      <c r="F13" s="267">
        <f t="shared" si="1"/>
        <v>42228.554344601202</v>
      </c>
    </row>
    <row r="14" spans="1:7" x14ac:dyDescent="0.25">
      <c r="A14" s="266">
        <v>10</v>
      </c>
      <c r="B14" s="267">
        <f>'FLUJO DE CAJA ECON FINAN'!L5</f>
        <v>56161</v>
      </c>
      <c r="C14" s="267">
        <f>'FLUJO DE CAJA ECON FINAN'!L7</f>
        <v>49583.39</v>
      </c>
      <c r="D14" s="268">
        <f t="shared" si="2"/>
        <v>0.83660839841081813</v>
      </c>
      <c r="E14" s="267">
        <f t="shared" si="0"/>
        <v>46984.764263149955</v>
      </c>
      <c r="F14" s="267">
        <f t="shared" si="1"/>
        <v>41481.880495678975</v>
      </c>
    </row>
    <row r="15" spans="1:7" x14ac:dyDescent="0.25">
      <c r="A15" s="266">
        <v>11</v>
      </c>
      <c r="B15" s="267">
        <f>'FLUJO DE CAJA ECON FINAN'!M5</f>
        <v>56166</v>
      </c>
      <c r="C15" s="267">
        <f>'FLUJO DE CAJA ECON FINAN'!M7</f>
        <v>49583.39</v>
      </c>
      <c r="D15" s="268">
        <f t="shared" si="2"/>
        <v>0.82181571553125565</v>
      </c>
      <c r="E15" s="267">
        <f t="shared" si="0"/>
        <v>46158.101478528508</v>
      </c>
      <c r="F15" s="267">
        <f t="shared" si="1"/>
        <v>40748.409131315304</v>
      </c>
    </row>
    <row r="16" spans="1:7" x14ac:dyDescent="0.25">
      <c r="A16" s="266">
        <v>12</v>
      </c>
      <c r="B16" s="267">
        <f>'FLUJO DE CAJA ECON FINAN'!N5</f>
        <v>57109</v>
      </c>
      <c r="C16" s="267">
        <f>'FLUJO DE CAJA ECON FINAN'!N7</f>
        <v>49583.39</v>
      </c>
      <c r="D16" s="268">
        <f t="shared" si="2"/>
        <v>0.8072845928597796</v>
      </c>
      <c r="E16" s="267">
        <f t="shared" si="0"/>
        <v>46103.215813629155</v>
      </c>
      <c r="F16" s="267">
        <f t="shared" si="1"/>
        <v>40027.906808757667</v>
      </c>
    </row>
    <row r="17" spans="1:10" x14ac:dyDescent="0.25">
      <c r="A17" s="266">
        <v>13</v>
      </c>
      <c r="B17" s="267">
        <f>'FLUJO DE CAJA ECON FINAN'!O5</f>
        <v>55920</v>
      </c>
      <c r="C17" s="267">
        <f>'FLUJO DE CAJA ECON FINAN'!O7</f>
        <v>49983.39</v>
      </c>
      <c r="D17" s="268">
        <f t="shared" si="2"/>
        <v>0.79301040555970481</v>
      </c>
      <c r="E17" s="267">
        <f t="shared" si="0"/>
        <v>44345.141878898692</v>
      </c>
      <c r="F17" s="267">
        <f t="shared" si="1"/>
        <v>39637.348375148897</v>
      </c>
    </row>
    <row r="18" spans="1:10" x14ac:dyDescent="0.25">
      <c r="A18" s="266">
        <v>14</v>
      </c>
      <c r="B18" s="267">
        <f>'FLUJO DE CAJA ECON FINAN'!P5</f>
        <v>55983</v>
      </c>
      <c r="C18" s="267">
        <f>'FLUJO DE CAJA ECON FINAN'!P7</f>
        <v>49583.39</v>
      </c>
      <c r="D18" s="268">
        <f t="shared" si="2"/>
        <v>0.77898861056945468</v>
      </c>
      <c r="E18" s="267">
        <f t="shared" si="0"/>
        <v>43610.119385509781</v>
      </c>
      <c r="F18" s="267">
        <f t="shared" si="1"/>
        <v>38624.896083423395</v>
      </c>
    </row>
    <row r="19" spans="1:10" x14ac:dyDescent="0.25">
      <c r="A19" s="266">
        <v>15</v>
      </c>
      <c r="B19" s="267">
        <f>'FLUJO DE CAJA ECON FINAN'!Q5</f>
        <v>56161</v>
      </c>
      <c r="C19" s="267">
        <f>'FLUJO DE CAJA ECON FINAN'!Q7</f>
        <v>49583.39</v>
      </c>
      <c r="D19" s="268">
        <f t="shared" si="2"/>
        <v>0.76521474515663512</v>
      </c>
      <c r="E19" s="267">
        <f t="shared" si="0"/>
        <v>42975.225302741783</v>
      </c>
      <c r="F19" s="267">
        <f t="shared" si="1"/>
        <v>37941.941142852047</v>
      </c>
    </row>
    <row r="20" spans="1:10" x14ac:dyDescent="0.25">
      <c r="A20" s="266">
        <v>16</v>
      </c>
      <c r="B20" s="267">
        <f>'FLUJO DE CAJA ECON FINAN'!R5</f>
        <v>56166</v>
      </c>
      <c r="C20" s="267">
        <f>'FLUJO DE CAJA ECON FINAN'!R7</f>
        <v>49583.39</v>
      </c>
      <c r="D20" s="268">
        <f t="shared" si="2"/>
        <v>0.751684425497677</v>
      </c>
      <c r="E20" s="267">
        <f t="shared" si="0"/>
        <v>42219.107442502529</v>
      </c>
      <c r="F20" s="267">
        <f t="shared" si="1"/>
        <v>37271.062026377265</v>
      </c>
    </row>
    <row r="21" spans="1:10" x14ac:dyDescent="0.25">
      <c r="A21" s="266">
        <v>17</v>
      </c>
      <c r="B21" s="267">
        <f>'FLUJO DE CAJA ECON FINAN'!S5</f>
        <v>55998</v>
      </c>
      <c r="C21" s="267">
        <f>'FLUJO DE CAJA ECON FINAN'!S7</f>
        <v>49583.39</v>
      </c>
      <c r="D21" s="268">
        <f t="shared" si="2"/>
        <v>0.73839334528259037</v>
      </c>
      <c r="E21" s="267">
        <f t="shared" si="0"/>
        <v>41348.550549134496</v>
      </c>
      <c r="F21" s="267">
        <f t="shared" si="1"/>
        <v>36612.04521255134</v>
      </c>
    </row>
    <row r="22" spans="1:10" x14ac:dyDescent="0.25">
      <c r="A22" s="266">
        <v>18</v>
      </c>
      <c r="B22" s="267">
        <f>'FLUJO DE CAJA ECON FINAN'!T5</f>
        <v>57109</v>
      </c>
      <c r="C22" s="267">
        <f>'FLUJO DE CAJA ECON FINAN'!T7</f>
        <v>49583.39</v>
      </c>
      <c r="D22" s="268">
        <f t="shared" si="2"/>
        <v>0.72533727434439133</v>
      </c>
      <c r="E22" s="267">
        <f t="shared" si="0"/>
        <v>41423.286400533842</v>
      </c>
      <c r="F22" s="267">
        <f t="shared" si="1"/>
        <v>35964.680955354946</v>
      </c>
    </row>
    <row r="23" spans="1:10" x14ac:dyDescent="0.25">
      <c r="A23" s="266">
        <v>19</v>
      </c>
      <c r="B23" s="267">
        <f>'FLUJO DE CAJA ECON FINAN'!U5</f>
        <v>57109</v>
      </c>
      <c r="C23" s="267">
        <f>'FLUJO DE CAJA ECON FINAN'!U7</f>
        <v>49983.39</v>
      </c>
      <c r="D23" s="268">
        <f t="shared" si="2"/>
        <v>0.71251205731276168</v>
      </c>
      <c r="E23" s="267">
        <f t="shared" si="0"/>
        <v>40690.851081074507</v>
      </c>
      <c r="F23" s="267">
        <f t="shared" si="1"/>
        <v>35613.768040366122</v>
      </c>
    </row>
    <row r="24" spans="1:10" x14ac:dyDescent="0.25">
      <c r="A24" s="266">
        <v>20</v>
      </c>
      <c r="B24" s="267">
        <f>'FLUJO DE CAJA ECON FINAN'!V5</f>
        <v>55983</v>
      </c>
      <c r="C24" s="267">
        <f>'FLUJO DE CAJA ECON FINAN'!V7</f>
        <v>49583.39</v>
      </c>
      <c r="D24" s="268">
        <f t="shared" si="2"/>
        <v>0.69991361229151428</v>
      </c>
      <c r="E24" s="267">
        <f t="shared" si="0"/>
        <v>39183.263756915847</v>
      </c>
      <c r="F24" s="267">
        <f t="shared" si="1"/>
        <v>34704.089604558947</v>
      </c>
    </row>
    <row r="25" spans="1:10" x14ac:dyDescent="0.25">
      <c r="A25" s="266">
        <v>21</v>
      </c>
      <c r="B25" s="267">
        <f>'FLUJO DE CAJA ECON FINAN'!W5</f>
        <v>56161</v>
      </c>
      <c r="C25" s="267">
        <f>'FLUJO DE CAJA ECON FINAN'!W7</f>
        <v>49583.39</v>
      </c>
      <c r="D25" s="268">
        <f t="shared" si="2"/>
        <v>0.68753792955944426</v>
      </c>
      <c r="E25" s="267">
        <f t="shared" si="0"/>
        <v>38612.817661987952</v>
      </c>
      <c r="F25" s="267">
        <f t="shared" si="1"/>
        <v>34090.46130113845</v>
      </c>
    </row>
    <row r="26" spans="1:10" x14ac:dyDescent="0.25">
      <c r="A26" s="266">
        <v>22</v>
      </c>
      <c r="B26" s="267">
        <f>'FLUJO DE CAJA ECON FINAN'!X5</f>
        <v>56166</v>
      </c>
      <c r="C26" s="267">
        <f>'FLUJO DE CAJA ECON FINAN'!X7</f>
        <v>49583.39</v>
      </c>
      <c r="D26" s="268">
        <f t="shared" si="2"/>
        <v>0.67538107029414973</v>
      </c>
      <c r="E26" s="267">
        <f t="shared" si="0"/>
        <v>37933.453194141213</v>
      </c>
      <c r="F26" s="267">
        <f t="shared" si="1"/>
        <v>33487.683007012238</v>
      </c>
    </row>
    <row r="27" spans="1:10" x14ac:dyDescent="0.25">
      <c r="A27" s="266">
        <v>23</v>
      </c>
      <c r="B27" s="267">
        <f>'FLUJO DE CAJA ECON FINAN'!Y5</f>
        <v>55998</v>
      </c>
      <c r="C27" s="267">
        <f>'FLUJO DE CAJA ECON FINAN'!Y7</f>
        <v>49583.39</v>
      </c>
      <c r="D27" s="268">
        <f t="shared" si="2"/>
        <v>0.66343916531841796</v>
      </c>
      <c r="E27" s="267">
        <f t="shared" si="0"/>
        <v>37151.266379500768</v>
      </c>
      <c r="F27" s="267">
        <f t="shared" si="1"/>
        <v>32895.562875257594</v>
      </c>
    </row>
    <row r="28" spans="1:10" x14ac:dyDescent="0.25">
      <c r="A28" s="266">
        <v>24</v>
      </c>
      <c r="B28" s="267">
        <f>'FLUJO DE CAJA ECON FINAN'!Z5</f>
        <v>57109</v>
      </c>
      <c r="C28" s="267">
        <f>'FLUJO DE CAJA ECON FINAN'!Z7</f>
        <v>49983.39</v>
      </c>
      <c r="D28" s="268">
        <f t="shared" si="2"/>
        <v>0.65170841386878009</v>
      </c>
      <c r="E28" s="267">
        <f t="shared" si="0"/>
        <v>37218.415807632162</v>
      </c>
      <c r="F28" s="267">
        <f t="shared" si="1"/>
        <v>32574.595816684643</v>
      </c>
    </row>
    <row r="29" spans="1:10" ht="14.25" x14ac:dyDescent="0.3">
      <c r="A29" s="265"/>
      <c r="B29" s="265"/>
      <c r="C29" s="265"/>
      <c r="D29" s="265"/>
      <c r="E29" s="269">
        <f>SUM(E4:E28)</f>
        <v>1088022.8275962076</v>
      </c>
      <c r="F29" s="269">
        <f>SUM(F4:F28)</f>
        <v>1015068.7521932815</v>
      </c>
    </row>
    <row r="30" spans="1:10" ht="16.5" x14ac:dyDescent="0.3">
      <c r="A30"/>
      <c r="B30" s="265"/>
      <c r="C30" s="265"/>
      <c r="D30" s="265"/>
      <c r="E30" s="270" t="s">
        <v>341</v>
      </c>
      <c r="F30" s="271">
        <f>E29/F29</f>
        <v>1.071871068088041</v>
      </c>
    </row>
    <row r="32" spans="1:10" ht="15" x14ac:dyDescent="0.25">
      <c r="E32" s="495" t="s">
        <v>649</v>
      </c>
      <c r="F32" s="495"/>
      <c r="G32" s="495"/>
      <c r="H32" s="495"/>
      <c r="I32" s="495"/>
      <c r="J32" s="495"/>
    </row>
    <row r="35" spans="5:5" x14ac:dyDescent="0.25">
      <c r="E35" s="518"/>
    </row>
  </sheetData>
  <mergeCells count="1">
    <mergeCell ref="A1:F1"/>
  </mergeCells>
  <hyperlinks>
    <hyperlink ref="G1" location="INDICE!A1" display="INDICE"/>
  </hyperlink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9457" r:id="rId4">
          <objectPr defaultSize="0" autoPict="0" r:id="rId5">
            <anchor moveWithCells="1" sizeWithCells="1">
              <from>
                <xdr:col>6</xdr:col>
                <xdr:colOff>171450</xdr:colOff>
                <xdr:row>25</xdr:row>
                <xdr:rowOff>57150</xdr:rowOff>
              </from>
              <to>
                <xdr:col>8</xdr:col>
                <xdr:colOff>76200</xdr:colOff>
                <xdr:row>30</xdr:row>
                <xdr:rowOff>28575</xdr:rowOff>
              </to>
            </anchor>
          </objectPr>
        </oleObject>
      </mc:Choice>
      <mc:Fallback>
        <oleObject progId="Equation.3" shapeId="19457" r:id="rId4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00FF"/>
  </sheetPr>
  <dimension ref="A1:N39"/>
  <sheetViews>
    <sheetView showGridLines="0" workbookViewId="0"/>
  </sheetViews>
  <sheetFormatPr baseColWidth="10" defaultRowHeight="12.75" x14ac:dyDescent="0.25"/>
  <cols>
    <col min="1" max="1" width="29.25" style="143" customWidth="1"/>
    <col min="2" max="2" width="11" style="143"/>
    <col min="3" max="3" width="12.5" style="143" customWidth="1"/>
    <col min="4" max="4" width="10.875" style="143" customWidth="1"/>
    <col min="5" max="5" width="12.25" style="143" customWidth="1"/>
    <col min="6" max="6" width="9.375" style="143" customWidth="1"/>
    <col min="7" max="7" width="9.5" style="143" customWidth="1"/>
    <col min="8" max="8" width="1.5" style="143" customWidth="1"/>
    <col min="9" max="9" width="12" style="143" customWidth="1"/>
    <col min="10" max="10" width="3" style="143" customWidth="1"/>
    <col min="11" max="11" width="11.5" style="143" customWidth="1"/>
    <col min="12" max="15" width="11" style="143"/>
    <col min="16" max="256" width="10" style="143"/>
    <col min="257" max="257" width="25.625" style="143" customWidth="1"/>
    <col min="258" max="258" width="10" style="143"/>
    <col min="259" max="259" width="11" style="143" bestFit="1" customWidth="1"/>
    <col min="260" max="260" width="9.625" style="143" bestFit="1" customWidth="1"/>
    <col min="261" max="261" width="10.75" style="143" bestFit="1" customWidth="1"/>
    <col min="262" max="262" width="8.25" style="143" customWidth="1"/>
    <col min="263" max="263" width="8.375" style="143" bestFit="1" customWidth="1"/>
    <col min="264" max="264" width="1.375" style="143" customWidth="1"/>
    <col min="265" max="265" width="10.625" style="143" bestFit="1" customWidth="1"/>
    <col min="266" max="266" width="2.75" style="143" customWidth="1"/>
    <col min="267" max="267" width="10.125" style="143" bestFit="1" customWidth="1"/>
    <col min="268" max="512" width="10" style="143"/>
    <col min="513" max="513" width="25.625" style="143" customWidth="1"/>
    <col min="514" max="514" width="10" style="143"/>
    <col min="515" max="515" width="11" style="143" bestFit="1" customWidth="1"/>
    <col min="516" max="516" width="9.625" style="143" bestFit="1" customWidth="1"/>
    <col min="517" max="517" width="10.75" style="143" bestFit="1" customWidth="1"/>
    <col min="518" max="518" width="8.25" style="143" customWidth="1"/>
    <col min="519" max="519" width="8.375" style="143" bestFit="1" customWidth="1"/>
    <col min="520" max="520" width="1.375" style="143" customWidth="1"/>
    <col min="521" max="521" width="10.625" style="143" bestFit="1" customWidth="1"/>
    <col min="522" max="522" width="2.75" style="143" customWidth="1"/>
    <col min="523" max="523" width="10.125" style="143" bestFit="1" customWidth="1"/>
    <col min="524" max="768" width="10" style="143"/>
    <col min="769" max="769" width="25.625" style="143" customWidth="1"/>
    <col min="770" max="770" width="10" style="143"/>
    <col min="771" max="771" width="11" style="143" bestFit="1" customWidth="1"/>
    <col min="772" max="772" width="9.625" style="143" bestFit="1" customWidth="1"/>
    <col min="773" max="773" width="10.75" style="143" bestFit="1" customWidth="1"/>
    <col min="774" max="774" width="8.25" style="143" customWidth="1"/>
    <col min="775" max="775" width="8.375" style="143" bestFit="1" customWidth="1"/>
    <col min="776" max="776" width="1.375" style="143" customWidth="1"/>
    <col min="777" max="777" width="10.625" style="143" bestFit="1" customWidth="1"/>
    <col min="778" max="778" width="2.75" style="143" customWidth="1"/>
    <col min="779" max="779" width="10.125" style="143" bestFit="1" customWidth="1"/>
    <col min="780" max="1024" width="11" style="143"/>
    <col min="1025" max="1025" width="25.625" style="143" customWidth="1"/>
    <col min="1026" max="1026" width="10" style="143"/>
    <col min="1027" max="1027" width="11" style="143" bestFit="1" customWidth="1"/>
    <col min="1028" max="1028" width="9.625" style="143" bestFit="1" customWidth="1"/>
    <col min="1029" max="1029" width="10.75" style="143" bestFit="1" customWidth="1"/>
    <col min="1030" max="1030" width="8.25" style="143" customWidth="1"/>
    <col min="1031" max="1031" width="8.375" style="143" bestFit="1" customWidth="1"/>
    <col min="1032" max="1032" width="1.375" style="143" customWidth="1"/>
    <col min="1033" max="1033" width="10.625" style="143" bestFit="1" customWidth="1"/>
    <col min="1034" max="1034" width="2.75" style="143" customWidth="1"/>
    <col min="1035" max="1035" width="10.125" style="143" bestFit="1" customWidth="1"/>
    <col min="1036" max="1280" width="10" style="143"/>
    <col min="1281" max="1281" width="25.625" style="143" customWidth="1"/>
    <col min="1282" max="1282" width="10" style="143"/>
    <col min="1283" max="1283" width="11" style="143" bestFit="1" customWidth="1"/>
    <col min="1284" max="1284" width="9.625" style="143" bestFit="1" customWidth="1"/>
    <col min="1285" max="1285" width="10.75" style="143" bestFit="1" customWidth="1"/>
    <col min="1286" max="1286" width="8.25" style="143" customWidth="1"/>
    <col min="1287" max="1287" width="8.375" style="143" bestFit="1" customWidth="1"/>
    <col min="1288" max="1288" width="1.375" style="143" customWidth="1"/>
    <col min="1289" max="1289" width="10.625" style="143" bestFit="1" customWidth="1"/>
    <col min="1290" max="1290" width="2.75" style="143" customWidth="1"/>
    <col min="1291" max="1291" width="10.125" style="143" bestFit="1" customWidth="1"/>
    <col min="1292" max="1536" width="10" style="143"/>
    <col min="1537" max="1537" width="25.625" style="143" customWidth="1"/>
    <col min="1538" max="1538" width="10" style="143"/>
    <col min="1539" max="1539" width="11" style="143" bestFit="1" customWidth="1"/>
    <col min="1540" max="1540" width="9.625" style="143" bestFit="1" customWidth="1"/>
    <col min="1541" max="1541" width="10.75" style="143" bestFit="1" customWidth="1"/>
    <col min="1542" max="1542" width="8.25" style="143" customWidth="1"/>
    <col min="1543" max="1543" width="8.375" style="143" bestFit="1" customWidth="1"/>
    <col min="1544" max="1544" width="1.375" style="143" customWidth="1"/>
    <col min="1545" max="1545" width="10.625" style="143" bestFit="1" customWidth="1"/>
    <col min="1546" max="1546" width="2.75" style="143" customWidth="1"/>
    <col min="1547" max="1547" width="10.125" style="143" bestFit="1" customWidth="1"/>
    <col min="1548" max="1792" width="10" style="143"/>
    <col min="1793" max="1793" width="25.625" style="143" customWidth="1"/>
    <col min="1794" max="1794" width="10" style="143"/>
    <col min="1795" max="1795" width="11" style="143" bestFit="1" customWidth="1"/>
    <col min="1796" max="1796" width="9.625" style="143" bestFit="1" customWidth="1"/>
    <col min="1797" max="1797" width="10.75" style="143" bestFit="1" customWidth="1"/>
    <col min="1798" max="1798" width="8.25" style="143" customWidth="1"/>
    <col min="1799" max="1799" width="8.375" style="143" bestFit="1" customWidth="1"/>
    <col min="1800" max="1800" width="1.375" style="143" customWidth="1"/>
    <col min="1801" max="1801" width="10.625" style="143" bestFit="1" customWidth="1"/>
    <col min="1802" max="1802" width="2.75" style="143" customWidth="1"/>
    <col min="1803" max="1803" width="10.125" style="143" bestFit="1" customWidth="1"/>
    <col min="1804" max="2048" width="11" style="143"/>
    <col min="2049" max="2049" width="25.625" style="143" customWidth="1"/>
    <col min="2050" max="2050" width="10" style="143"/>
    <col min="2051" max="2051" width="11" style="143" bestFit="1" customWidth="1"/>
    <col min="2052" max="2052" width="9.625" style="143" bestFit="1" customWidth="1"/>
    <col min="2053" max="2053" width="10.75" style="143" bestFit="1" customWidth="1"/>
    <col min="2054" max="2054" width="8.25" style="143" customWidth="1"/>
    <col min="2055" max="2055" width="8.375" style="143" bestFit="1" customWidth="1"/>
    <col min="2056" max="2056" width="1.375" style="143" customWidth="1"/>
    <col min="2057" max="2057" width="10.625" style="143" bestFit="1" customWidth="1"/>
    <col min="2058" max="2058" width="2.75" style="143" customWidth="1"/>
    <col min="2059" max="2059" width="10.125" style="143" bestFit="1" customWidth="1"/>
    <col min="2060" max="2304" width="10" style="143"/>
    <col min="2305" max="2305" width="25.625" style="143" customWidth="1"/>
    <col min="2306" max="2306" width="10" style="143"/>
    <col min="2307" max="2307" width="11" style="143" bestFit="1" customWidth="1"/>
    <col min="2308" max="2308" width="9.625" style="143" bestFit="1" customWidth="1"/>
    <col min="2309" max="2309" width="10.75" style="143" bestFit="1" customWidth="1"/>
    <col min="2310" max="2310" width="8.25" style="143" customWidth="1"/>
    <col min="2311" max="2311" width="8.375" style="143" bestFit="1" customWidth="1"/>
    <col min="2312" max="2312" width="1.375" style="143" customWidth="1"/>
    <col min="2313" max="2313" width="10.625" style="143" bestFit="1" customWidth="1"/>
    <col min="2314" max="2314" width="2.75" style="143" customWidth="1"/>
    <col min="2315" max="2315" width="10.125" style="143" bestFit="1" customWidth="1"/>
    <col min="2316" max="2560" width="10" style="143"/>
    <col min="2561" max="2561" width="25.625" style="143" customWidth="1"/>
    <col min="2562" max="2562" width="10" style="143"/>
    <col min="2563" max="2563" width="11" style="143" bestFit="1" customWidth="1"/>
    <col min="2564" max="2564" width="9.625" style="143" bestFit="1" customWidth="1"/>
    <col min="2565" max="2565" width="10.75" style="143" bestFit="1" customWidth="1"/>
    <col min="2566" max="2566" width="8.25" style="143" customWidth="1"/>
    <col min="2567" max="2567" width="8.375" style="143" bestFit="1" customWidth="1"/>
    <col min="2568" max="2568" width="1.375" style="143" customWidth="1"/>
    <col min="2569" max="2569" width="10.625" style="143" bestFit="1" customWidth="1"/>
    <col min="2570" max="2570" width="2.75" style="143" customWidth="1"/>
    <col min="2571" max="2571" width="10.125" style="143" bestFit="1" customWidth="1"/>
    <col min="2572" max="2816" width="10" style="143"/>
    <col min="2817" max="2817" width="25.625" style="143" customWidth="1"/>
    <col min="2818" max="2818" width="10" style="143"/>
    <col min="2819" max="2819" width="11" style="143" bestFit="1" customWidth="1"/>
    <col min="2820" max="2820" width="9.625" style="143" bestFit="1" customWidth="1"/>
    <col min="2821" max="2821" width="10.75" style="143" bestFit="1" customWidth="1"/>
    <col min="2822" max="2822" width="8.25" style="143" customWidth="1"/>
    <col min="2823" max="2823" width="8.375" style="143" bestFit="1" customWidth="1"/>
    <col min="2824" max="2824" width="1.375" style="143" customWidth="1"/>
    <col min="2825" max="2825" width="10.625" style="143" bestFit="1" customWidth="1"/>
    <col min="2826" max="2826" width="2.75" style="143" customWidth="1"/>
    <col min="2827" max="2827" width="10.125" style="143" bestFit="1" customWidth="1"/>
    <col min="2828" max="3072" width="11" style="143"/>
    <col min="3073" max="3073" width="25.625" style="143" customWidth="1"/>
    <col min="3074" max="3074" width="10" style="143"/>
    <col min="3075" max="3075" width="11" style="143" bestFit="1" customWidth="1"/>
    <col min="3076" max="3076" width="9.625" style="143" bestFit="1" customWidth="1"/>
    <col min="3077" max="3077" width="10.75" style="143" bestFit="1" customWidth="1"/>
    <col min="3078" max="3078" width="8.25" style="143" customWidth="1"/>
    <col min="3079" max="3079" width="8.375" style="143" bestFit="1" customWidth="1"/>
    <col min="3080" max="3080" width="1.375" style="143" customWidth="1"/>
    <col min="3081" max="3081" width="10.625" style="143" bestFit="1" customWidth="1"/>
    <col min="3082" max="3082" width="2.75" style="143" customWidth="1"/>
    <col min="3083" max="3083" width="10.125" style="143" bestFit="1" customWidth="1"/>
    <col min="3084" max="3328" width="10" style="143"/>
    <col min="3329" max="3329" width="25.625" style="143" customWidth="1"/>
    <col min="3330" max="3330" width="10" style="143"/>
    <col min="3331" max="3331" width="11" style="143" bestFit="1" customWidth="1"/>
    <col min="3332" max="3332" width="9.625" style="143" bestFit="1" customWidth="1"/>
    <col min="3333" max="3333" width="10.75" style="143" bestFit="1" customWidth="1"/>
    <col min="3334" max="3334" width="8.25" style="143" customWidth="1"/>
    <col min="3335" max="3335" width="8.375" style="143" bestFit="1" customWidth="1"/>
    <col min="3336" max="3336" width="1.375" style="143" customWidth="1"/>
    <col min="3337" max="3337" width="10.625" style="143" bestFit="1" customWidth="1"/>
    <col min="3338" max="3338" width="2.75" style="143" customWidth="1"/>
    <col min="3339" max="3339" width="10.125" style="143" bestFit="1" customWidth="1"/>
    <col min="3340" max="3584" width="10" style="143"/>
    <col min="3585" max="3585" width="25.625" style="143" customWidth="1"/>
    <col min="3586" max="3586" width="10" style="143"/>
    <col min="3587" max="3587" width="11" style="143" bestFit="1" customWidth="1"/>
    <col min="3588" max="3588" width="9.625" style="143" bestFit="1" customWidth="1"/>
    <col min="3589" max="3589" width="10.75" style="143" bestFit="1" customWidth="1"/>
    <col min="3590" max="3590" width="8.25" style="143" customWidth="1"/>
    <col min="3591" max="3591" width="8.375" style="143" bestFit="1" customWidth="1"/>
    <col min="3592" max="3592" width="1.375" style="143" customWidth="1"/>
    <col min="3593" max="3593" width="10.625" style="143" bestFit="1" customWidth="1"/>
    <col min="3594" max="3594" width="2.75" style="143" customWidth="1"/>
    <col min="3595" max="3595" width="10.125" style="143" bestFit="1" customWidth="1"/>
    <col min="3596" max="3840" width="10" style="143"/>
    <col min="3841" max="3841" width="25.625" style="143" customWidth="1"/>
    <col min="3842" max="3842" width="10" style="143"/>
    <col min="3843" max="3843" width="11" style="143" bestFit="1" customWidth="1"/>
    <col min="3844" max="3844" width="9.625" style="143" bestFit="1" customWidth="1"/>
    <col min="3845" max="3845" width="10.75" style="143" bestFit="1" customWidth="1"/>
    <col min="3846" max="3846" width="8.25" style="143" customWidth="1"/>
    <col min="3847" max="3847" width="8.375" style="143" bestFit="1" customWidth="1"/>
    <col min="3848" max="3848" width="1.375" style="143" customWidth="1"/>
    <col min="3849" max="3849" width="10.625" style="143" bestFit="1" customWidth="1"/>
    <col min="3850" max="3850" width="2.75" style="143" customWidth="1"/>
    <col min="3851" max="3851" width="10.125" style="143" bestFit="1" customWidth="1"/>
    <col min="3852" max="4096" width="11" style="143"/>
    <col min="4097" max="4097" width="25.625" style="143" customWidth="1"/>
    <col min="4098" max="4098" width="10" style="143"/>
    <col min="4099" max="4099" width="11" style="143" bestFit="1" customWidth="1"/>
    <col min="4100" max="4100" width="9.625" style="143" bestFit="1" customWidth="1"/>
    <col min="4101" max="4101" width="10.75" style="143" bestFit="1" customWidth="1"/>
    <col min="4102" max="4102" width="8.25" style="143" customWidth="1"/>
    <col min="4103" max="4103" width="8.375" style="143" bestFit="1" customWidth="1"/>
    <col min="4104" max="4104" width="1.375" style="143" customWidth="1"/>
    <col min="4105" max="4105" width="10.625" style="143" bestFit="1" customWidth="1"/>
    <col min="4106" max="4106" width="2.75" style="143" customWidth="1"/>
    <col min="4107" max="4107" width="10.125" style="143" bestFit="1" customWidth="1"/>
    <col min="4108" max="4352" width="10" style="143"/>
    <col min="4353" max="4353" width="25.625" style="143" customWidth="1"/>
    <col min="4354" max="4354" width="10" style="143"/>
    <col min="4355" max="4355" width="11" style="143" bestFit="1" customWidth="1"/>
    <col min="4356" max="4356" width="9.625" style="143" bestFit="1" customWidth="1"/>
    <col min="4357" max="4357" width="10.75" style="143" bestFit="1" customWidth="1"/>
    <col min="4358" max="4358" width="8.25" style="143" customWidth="1"/>
    <col min="4359" max="4359" width="8.375" style="143" bestFit="1" customWidth="1"/>
    <col min="4360" max="4360" width="1.375" style="143" customWidth="1"/>
    <col min="4361" max="4361" width="10.625" style="143" bestFit="1" customWidth="1"/>
    <col min="4362" max="4362" width="2.75" style="143" customWidth="1"/>
    <col min="4363" max="4363" width="10.125" style="143" bestFit="1" customWidth="1"/>
    <col min="4364" max="4608" width="10" style="143"/>
    <col min="4609" max="4609" width="25.625" style="143" customWidth="1"/>
    <col min="4610" max="4610" width="10" style="143"/>
    <col min="4611" max="4611" width="11" style="143" bestFit="1" customWidth="1"/>
    <col min="4612" max="4612" width="9.625" style="143" bestFit="1" customWidth="1"/>
    <col min="4613" max="4613" width="10.75" style="143" bestFit="1" customWidth="1"/>
    <col min="4614" max="4614" width="8.25" style="143" customWidth="1"/>
    <col min="4615" max="4615" width="8.375" style="143" bestFit="1" customWidth="1"/>
    <col min="4616" max="4616" width="1.375" style="143" customWidth="1"/>
    <col min="4617" max="4617" width="10.625" style="143" bestFit="1" customWidth="1"/>
    <col min="4618" max="4618" width="2.75" style="143" customWidth="1"/>
    <col min="4619" max="4619" width="10.125" style="143" bestFit="1" customWidth="1"/>
    <col min="4620" max="4864" width="10" style="143"/>
    <col min="4865" max="4865" width="25.625" style="143" customWidth="1"/>
    <col min="4866" max="4866" width="10" style="143"/>
    <col min="4867" max="4867" width="11" style="143" bestFit="1" customWidth="1"/>
    <col min="4868" max="4868" width="9.625" style="143" bestFit="1" customWidth="1"/>
    <col min="4869" max="4869" width="10.75" style="143" bestFit="1" customWidth="1"/>
    <col min="4870" max="4870" width="8.25" style="143" customWidth="1"/>
    <col min="4871" max="4871" width="8.375" style="143" bestFit="1" customWidth="1"/>
    <col min="4872" max="4872" width="1.375" style="143" customWidth="1"/>
    <col min="4873" max="4873" width="10.625" style="143" bestFit="1" customWidth="1"/>
    <col min="4874" max="4874" width="2.75" style="143" customWidth="1"/>
    <col min="4875" max="4875" width="10.125" style="143" bestFit="1" customWidth="1"/>
    <col min="4876" max="5120" width="11" style="143"/>
    <col min="5121" max="5121" width="25.625" style="143" customWidth="1"/>
    <col min="5122" max="5122" width="10" style="143"/>
    <col min="5123" max="5123" width="11" style="143" bestFit="1" customWidth="1"/>
    <col min="5124" max="5124" width="9.625" style="143" bestFit="1" customWidth="1"/>
    <col min="5125" max="5125" width="10.75" style="143" bestFit="1" customWidth="1"/>
    <col min="5126" max="5126" width="8.25" style="143" customWidth="1"/>
    <col min="5127" max="5127" width="8.375" style="143" bestFit="1" customWidth="1"/>
    <col min="5128" max="5128" width="1.375" style="143" customWidth="1"/>
    <col min="5129" max="5129" width="10.625" style="143" bestFit="1" customWidth="1"/>
    <col min="5130" max="5130" width="2.75" style="143" customWidth="1"/>
    <col min="5131" max="5131" width="10.125" style="143" bestFit="1" customWidth="1"/>
    <col min="5132" max="5376" width="10" style="143"/>
    <col min="5377" max="5377" width="25.625" style="143" customWidth="1"/>
    <col min="5378" max="5378" width="10" style="143"/>
    <col min="5379" max="5379" width="11" style="143" bestFit="1" customWidth="1"/>
    <col min="5380" max="5380" width="9.625" style="143" bestFit="1" customWidth="1"/>
    <col min="5381" max="5381" width="10.75" style="143" bestFit="1" customWidth="1"/>
    <col min="5382" max="5382" width="8.25" style="143" customWidth="1"/>
    <col min="5383" max="5383" width="8.375" style="143" bestFit="1" customWidth="1"/>
    <col min="5384" max="5384" width="1.375" style="143" customWidth="1"/>
    <col min="5385" max="5385" width="10.625" style="143" bestFit="1" customWidth="1"/>
    <col min="5386" max="5386" width="2.75" style="143" customWidth="1"/>
    <col min="5387" max="5387" width="10.125" style="143" bestFit="1" customWidth="1"/>
    <col min="5388" max="5632" width="10" style="143"/>
    <col min="5633" max="5633" width="25.625" style="143" customWidth="1"/>
    <col min="5634" max="5634" width="10" style="143"/>
    <col min="5635" max="5635" width="11" style="143" bestFit="1" customWidth="1"/>
    <col min="5636" max="5636" width="9.625" style="143" bestFit="1" customWidth="1"/>
    <col min="5637" max="5637" width="10.75" style="143" bestFit="1" customWidth="1"/>
    <col min="5638" max="5638" width="8.25" style="143" customWidth="1"/>
    <col min="5639" max="5639" width="8.375" style="143" bestFit="1" customWidth="1"/>
    <col min="5640" max="5640" width="1.375" style="143" customWidth="1"/>
    <col min="5641" max="5641" width="10.625" style="143" bestFit="1" customWidth="1"/>
    <col min="5642" max="5642" width="2.75" style="143" customWidth="1"/>
    <col min="5643" max="5643" width="10.125" style="143" bestFit="1" customWidth="1"/>
    <col min="5644" max="5888" width="10" style="143"/>
    <col min="5889" max="5889" width="25.625" style="143" customWidth="1"/>
    <col min="5890" max="5890" width="10" style="143"/>
    <col min="5891" max="5891" width="11" style="143" bestFit="1" customWidth="1"/>
    <col min="5892" max="5892" width="9.625" style="143" bestFit="1" customWidth="1"/>
    <col min="5893" max="5893" width="10.75" style="143" bestFit="1" customWidth="1"/>
    <col min="5894" max="5894" width="8.25" style="143" customWidth="1"/>
    <col min="5895" max="5895" width="8.375" style="143" bestFit="1" customWidth="1"/>
    <col min="5896" max="5896" width="1.375" style="143" customWidth="1"/>
    <col min="5897" max="5897" width="10.625" style="143" bestFit="1" customWidth="1"/>
    <col min="5898" max="5898" width="2.75" style="143" customWidth="1"/>
    <col min="5899" max="5899" width="10.125" style="143" bestFit="1" customWidth="1"/>
    <col min="5900" max="6144" width="11" style="143"/>
    <col min="6145" max="6145" width="25.625" style="143" customWidth="1"/>
    <col min="6146" max="6146" width="10" style="143"/>
    <col min="6147" max="6147" width="11" style="143" bestFit="1" customWidth="1"/>
    <col min="6148" max="6148" width="9.625" style="143" bestFit="1" customWidth="1"/>
    <col min="6149" max="6149" width="10.75" style="143" bestFit="1" customWidth="1"/>
    <col min="6150" max="6150" width="8.25" style="143" customWidth="1"/>
    <col min="6151" max="6151" width="8.375" style="143" bestFit="1" customWidth="1"/>
    <col min="6152" max="6152" width="1.375" style="143" customWidth="1"/>
    <col min="6153" max="6153" width="10.625" style="143" bestFit="1" customWidth="1"/>
    <col min="6154" max="6154" width="2.75" style="143" customWidth="1"/>
    <col min="6155" max="6155" width="10.125" style="143" bestFit="1" customWidth="1"/>
    <col min="6156" max="6400" width="10" style="143"/>
    <col min="6401" max="6401" width="25.625" style="143" customWidth="1"/>
    <col min="6402" max="6402" width="10" style="143"/>
    <col min="6403" max="6403" width="11" style="143" bestFit="1" customWidth="1"/>
    <col min="6404" max="6404" width="9.625" style="143" bestFit="1" customWidth="1"/>
    <col min="6405" max="6405" width="10.75" style="143" bestFit="1" customWidth="1"/>
    <col min="6406" max="6406" width="8.25" style="143" customWidth="1"/>
    <col min="6407" max="6407" width="8.375" style="143" bestFit="1" customWidth="1"/>
    <col min="6408" max="6408" width="1.375" style="143" customWidth="1"/>
    <col min="6409" max="6409" width="10.625" style="143" bestFit="1" customWidth="1"/>
    <col min="6410" max="6410" width="2.75" style="143" customWidth="1"/>
    <col min="6411" max="6411" width="10.125" style="143" bestFit="1" customWidth="1"/>
    <col min="6412" max="6656" width="10" style="143"/>
    <col min="6657" max="6657" width="25.625" style="143" customWidth="1"/>
    <col min="6658" max="6658" width="10" style="143"/>
    <col min="6659" max="6659" width="11" style="143" bestFit="1" customWidth="1"/>
    <col min="6660" max="6660" width="9.625" style="143" bestFit="1" customWidth="1"/>
    <col min="6661" max="6661" width="10.75" style="143" bestFit="1" customWidth="1"/>
    <col min="6662" max="6662" width="8.25" style="143" customWidth="1"/>
    <col min="6663" max="6663" width="8.375" style="143" bestFit="1" customWidth="1"/>
    <col min="6664" max="6664" width="1.375" style="143" customWidth="1"/>
    <col min="6665" max="6665" width="10.625" style="143" bestFit="1" customWidth="1"/>
    <col min="6666" max="6666" width="2.75" style="143" customWidth="1"/>
    <col min="6667" max="6667" width="10.125" style="143" bestFit="1" customWidth="1"/>
    <col min="6668" max="6912" width="10" style="143"/>
    <col min="6913" max="6913" width="25.625" style="143" customWidth="1"/>
    <col min="6914" max="6914" width="10" style="143"/>
    <col min="6915" max="6915" width="11" style="143" bestFit="1" customWidth="1"/>
    <col min="6916" max="6916" width="9.625" style="143" bestFit="1" customWidth="1"/>
    <col min="6917" max="6917" width="10.75" style="143" bestFit="1" customWidth="1"/>
    <col min="6918" max="6918" width="8.25" style="143" customWidth="1"/>
    <col min="6919" max="6919" width="8.375" style="143" bestFit="1" customWidth="1"/>
    <col min="6920" max="6920" width="1.375" style="143" customWidth="1"/>
    <col min="6921" max="6921" width="10.625" style="143" bestFit="1" customWidth="1"/>
    <col min="6922" max="6922" width="2.75" style="143" customWidth="1"/>
    <col min="6923" max="6923" width="10.125" style="143" bestFit="1" customWidth="1"/>
    <col min="6924" max="7168" width="11" style="143"/>
    <col min="7169" max="7169" width="25.625" style="143" customWidth="1"/>
    <col min="7170" max="7170" width="10" style="143"/>
    <col min="7171" max="7171" width="11" style="143" bestFit="1" customWidth="1"/>
    <col min="7172" max="7172" width="9.625" style="143" bestFit="1" customWidth="1"/>
    <col min="7173" max="7173" width="10.75" style="143" bestFit="1" customWidth="1"/>
    <col min="7174" max="7174" width="8.25" style="143" customWidth="1"/>
    <col min="7175" max="7175" width="8.375" style="143" bestFit="1" customWidth="1"/>
    <col min="7176" max="7176" width="1.375" style="143" customWidth="1"/>
    <col min="7177" max="7177" width="10.625" style="143" bestFit="1" customWidth="1"/>
    <col min="7178" max="7178" width="2.75" style="143" customWidth="1"/>
    <col min="7179" max="7179" width="10.125" style="143" bestFit="1" customWidth="1"/>
    <col min="7180" max="7424" width="10" style="143"/>
    <col min="7425" max="7425" width="25.625" style="143" customWidth="1"/>
    <col min="7426" max="7426" width="10" style="143"/>
    <col min="7427" max="7427" width="11" style="143" bestFit="1" customWidth="1"/>
    <col min="7428" max="7428" width="9.625" style="143" bestFit="1" customWidth="1"/>
    <col min="7429" max="7429" width="10.75" style="143" bestFit="1" customWidth="1"/>
    <col min="7430" max="7430" width="8.25" style="143" customWidth="1"/>
    <col min="7431" max="7431" width="8.375" style="143" bestFit="1" customWidth="1"/>
    <col min="7432" max="7432" width="1.375" style="143" customWidth="1"/>
    <col min="7433" max="7433" width="10.625" style="143" bestFit="1" customWidth="1"/>
    <col min="7434" max="7434" width="2.75" style="143" customWidth="1"/>
    <col min="7435" max="7435" width="10.125" style="143" bestFit="1" customWidth="1"/>
    <col min="7436" max="7680" width="10" style="143"/>
    <col min="7681" max="7681" width="25.625" style="143" customWidth="1"/>
    <col min="7682" max="7682" width="10" style="143"/>
    <col min="7683" max="7683" width="11" style="143" bestFit="1" customWidth="1"/>
    <col min="7684" max="7684" width="9.625" style="143" bestFit="1" customWidth="1"/>
    <col min="7685" max="7685" width="10.75" style="143" bestFit="1" customWidth="1"/>
    <col min="7686" max="7686" width="8.25" style="143" customWidth="1"/>
    <col min="7687" max="7687" width="8.375" style="143" bestFit="1" customWidth="1"/>
    <col min="7688" max="7688" width="1.375" style="143" customWidth="1"/>
    <col min="7689" max="7689" width="10.625" style="143" bestFit="1" customWidth="1"/>
    <col min="7690" max="7690" width="2.75" style="143" customWidth="1"/>
    <col min="7691" max="7691" width="10.125" style="143" bestFit="1" customWidth="1"/>
    <col min="7692" max="7936" width="10" style="143"/>
    <col min="7937" max="7937" width="25.625" style="143" customWidth="1"/>
    <col min="7938" max="7938" width="10" style="143"/>
    <col min="7939" max="7939" width="11" style="143" bestFit="1" customWidth="1"/>
    <col min="7940" max="7940" width="9.625" style="143" bestFit="1" customWidth="1"/>
    <col min="7941" max="7941" width="10.75" style="143" bestFit="1" customWidth="1"/>
    <col min="7942" max="7942" width="8.25" style="143" customWidth="1"/>
    <col min="7943" max="7943" width="8.375" style="143" bestFit="1" customWidth="1"/>
    <col min="7944" max="7944" width="1.375" style="143" customWidth="1"/>
    <col min="7945" max="7945" width="10.625" style="143" bestFit="1" customWidth="1"/>
    <col min="7946" max="7946" width="2.75" style="143" customWidth="1"/>
    <col min="7947" max="7947" width="10.125" style="143" bestFit="1" customWidth="1"/>
    <col min="7948" max="8192" width="11" style="143"/>
    <col min="8193" max="8193" width="25.625" style="143" customWidth="1"/>
    <col min="8194" max="8194" width="10" style="143"/>
    <col min="8195" max="8195" width="11" style="143" bestFit="1" customWidth="1"/>
    <col min="8196" max="8196" width="9.625" style="143" bestFit="1" customWidth="1"/>
    <col min="8197" max="8197" width="10.75" style="143" bestFit="1" customWidth="1"/>
    <col min="8198" max="8198" width="8.25" style="143" customWidth="1"/>
    <col min="8199" max="8199" width="8.375" style="143" bestFit="1" customWidth="1"/>
    <col min="8200" max="8200" width="1.375" style="143" customWidth="1"/>
    <col min="8201" max="8201" width="10.625" style="143" bestFit="1" customWidth="1"/>
    <col min="8202" max="8202" width="2.75" style="143" customWidth="1"/>
    <col min="8203" max="8203" width="10.125" style="143" bestFit="1" customWidth="1"/>
    <col min="8204" max="8448" width="10" style="143"/>
    <col min="8449" max="8449" width="25.625" style="143" customWidth="1"/>
    <col min="8450" max="8450" width="10" style="143"/>
    <col min="8451" max="8451" width="11" style="143" bestFit="1" customWidth="1"/>
    <col min="8452" max="8452" width="9.625" style="143" bestFit="1" customWidth="1"/>
    <col min="8453" max="8453" width="10.75" style="143" bestFit="1" customWidth="1"/>
    <col min="8454" max="8454" width="8.25" style="143" customWidth="1"/>
    <col min="8455" max="8455" width="8.375" style="143" bestFit="1" customWidth="1"/>
    <col min="8456" max="8456" width="1.375" style="143" customWidth="1"/>
    <col min="8457" max="8457" width="10.625" style="143" bestFit="1" customWidth="1"/>
    <col min="8458" max="8458" width="2.75" style="143" customWidth="1"/>
    <col min="8459" max="8459" width="10.125" style="143" bestFit="1" customWidth="1"/>
    <col min="8460" max="8704" width="10" style="143"/>
    <col min="8705" max="8705" width="25.625" style="143" customWidth="1"/>
    <col min="8706" max="8706" width="10" style="143"/>
    <col min="8707" max="8707" width="11" style="143" bestFit="1" customWidth="1"/>
    <col min="8708" max="8708" width="9.625" style="143" bestFit="1" customWidth="1"/>
    <col min="8709" max="8709" width="10.75" style="143" bestFit="1" customWidth="1"/>
    <col min="8710" max="8710" width="8.25" style="143" customWidth="1"/>
    <col min="8711" max="8711" width="8.375" style="143" bestFit="1" customWidth="1"/>
    <col min="8712" max="8712" width="1.375" style="143" customWidth="1"/>
    <col min="8713" max="8713" width="10.625" style="143" bestFit="1" customWidth="1"/>
    <col min="8714" max="8714" width="2.75" style="143" customWidth="1"/>
    <col min="8715" max="8715" width="10.125" style="143" bestFit="1" customWidth="1"/>
    <col min="8716" max="8960" width="10" style="143"/>
    <col min="8961" max="8961" width="25.625" style="143" customWidth="1"/>
    <col min="8962" max="8962" width="10" style="143"/>
    <col min="8963" max="8963" width="11" style="143" bestFit="1" customWidth="1"/>
    <col min="8964" max="8964" width="9.625" style="143" bestFit="1" customWidth="1"/>
    <col min="8965" max="8965" width="10.75" style="143" bestFit="1" customWidth="1"/>
    <col min="8966" max="8966" width="8.25" style="143" customWidth="1"/>
    <col min="8967" max="8967" width="8.375" style="143" bestFit="1" customWidth="1"/>
    <col min="8968" max="8968" width="1.375" style="143" customWidth="1"/>
    <col min="8969" max="8969" width="10.625" style="143" bestFit="1" customWidth="1"/>
    <col min="8970" max="8970" width="2.75" style="143" customWidth="1"/>
    <col min="8971" max="8971" width="10.125" style="143" bestFit="1" customWidth="1"/>
    <col min="8972" max="9216" width="11" style="143"/>
    <col min="9217" max="9217" width="25.625" style="143" customWidth="1"/>
    <col min="9218" max="9218" width="10" style="143"/>
    <col min="9219" max="9219" width="11" style="143" bestFit="1" customWidth="1"/>
    <col min="9220" max="9220" width="9.625" style="143" bestFit="1" customWidth="1"/>
    <col min="9221" max="9221" width="10.75" style="143" bestFit="1" customWidth="1"/>
    <col min="9222" max="9222" width="8.25" style="143" customWidth="1"/>
    <col min="9223" max="9223" width="8.375" style="143" bestFit="1" customWidth="1"/>
    <col min="9224" max="9224" width="1.375" style="143" customWidth="1"/>
    <col min="9225" max="9225" width="10.625" style="143" bestFit="1" customWidth="1"/>
    <col min="9226" max="9226" width="2.75" style="143" customWidth="1"/>
    <col min="9227" max="9227" width="10.125" style="143" bestFit="1" customWidth="1"/>
    <col min="9228" max="9472" width="10" style="143"/>
    <col min="9473" max="9473" width="25.625" style="143" customWidth="1"/>
    <col min="9474" max="9474" width="10" style="143"/>
    <col min="9475" max="9475" width="11" style="143" bestFit="1" customWidth="1"/>
    <col min="9476" max="9476" width="9.625" style="143" bestFit="1" customWidth="1"/>
    <col min="9477" max="9477" width="10.75" style="143" bestFit="1" customWidth="1"/>
    <col min="9478" max="9478" width="8.25" style="143" customWidth="1"/>
    <col min="9479" max="9479" width="8.375" style="143" bestFit="1" customWidth="1"/>
    <col min="9480" max="9480" width="1.375" style="143" customWidth="1"/>
    <col min="9481" max="9481" width="10.625" style="143" bestFit="1" customWidth="1"/>
    <col min="9482" max="9482" width="2.75" style="143" customWidth="1"/>
    <col min="9483" max="9483" width="10.125" style="143" bestFit="1" customWidth="1"/>
    <col min="9484" max="9728" width="10" style="143"/>
    <col min="9729" max="9729" width="25.625" style="143" customWidth="1"/>
    <col min="9730" max="9730" width="10" style="143"/>
    <col min="9731" max="9731" width="11" style="143" bestFit="1" customWidth="1"/>
    <col min="9732" max="9732" width="9.625" style="143" bestFit="1" customWidth="1"/>
    <col min="9733" max="9733" width="10.75" style="143" bestFit="1" customWidth="1"/>
    <col min="9734" max="9734" width="8.25" style="143" customWidth="1"/>
    <col min="9735" max="9735" width="8.375" style="143" bestFit="1" customWidth="1"/>
    <col min="9736" max="9736" width="1.375" style="143" customWidth="1"/>
    <col min="9737" max="9737" width="10.625" style="143" bestFit="1" customWidth="1"/>
    <col min="9738" max="9738" width="2.75" style="143" customWidth="1"/>
    <col min="9739" max="9739" width="10.125" style="143" bestFit="1" customWidth="1"/>
    <col min="9740" max="9984" width="10" style="143"/>
    <col min="9985" max="9985" width="25.625" style="143" customWidth="1"/>
    <col min="9986" max="9986" width="10" style="143"/>
    <col min="9987" max="9987" width="11" style="143" bestFit="1" customWidth="1"/>
    <col min="9988" max="9988" width="9.625" style="143" bestFit="1" customWidth="1"/>
    <col min="9989" max="9989" width="10.75" style="143" bestFit="1" customWidth="1"/>
    <col min="9990" max="9990" width="8.25" style="143" customWidth="1"/>
    <col min="9991" max="9991" width="8.375" style="143" bestFit="1" customWidth="1"/>
    <col min="9992" max="9992" width="1.375" style="143" customWidth="1"/>
    <col min="9993" max="9993" width="10.625" style="143" bestFit="1" customWidth="1"/>
    <col min="9994" max="9994" width="2.75" style="143" customWidth="1"/>
    <col min="9995" max="9995" width="10.125" style="143" bestFit="1" customWidth="1"/>
    <col min="9996" max="10240" width="11" style="143"/>
    <col min="10241" max="10241" width="25.625" style="143" customWidth="1"/>
    <col min="10242" max="10242" width="10" style="143"/>
    <col min="10243" max="10243" width="11" style="143" bestFit="1" customWidth="1"/>
    <col min="10244" max="10244" width="9.625" style="143" bestFit="1" customWidth="1"/>
    <col min="10245" max="10245" width="10.75" style="143" bestFit="1" customWidth="1"/>
    <col min="10246" max="10246" width="8.25" style="143" customWidth="1"/>
    <col min="10247" max="10247" width="8.375" style="143" bestFit="1" customWidth="1"/>
    <col min="10248" max="10248" width="1.375" style="143" customWidth="1"/>
    <col min="10249" max="10249" width="10.625" style="143" bestFit="1" customWidth="1"/>
    <col min="10250" max="10250" width="2.75" style="143" customWidth="1"/>
    <col min="10251" max="10251" width="10.125" style="143" bestFit="1" customWidth="1"/>
    <col min="10252" max="10496" width="10" style="143"/>
    <col min="10497" max="10497" width="25.625" style="143" customWidth="1"/>
    <col min="10498" max="10498" width="10" style="143"/>
    <col min="10499" max="10499" width="11" style="143" bestFit="1" customWidth="1"/>
    <col min="10500" max="10500" width="9.625" style="143" bestFit="1" customWidth="1"/>
    <col min="10501" max="10501" width="10.75" style="143" bestFit="1" customWidth="1"/>
    <col min="10502" max="10502" width="8.25" style="143" customWidth="1"/>
    <col min="10503" max="10503" width="8.375" style="143" bestFit="1" customWidth="1"/>
    <col min="10504" max="10504" width="1.375" style="143" customWidth="1"/>
    <col min="10505" max="10505" width="10.625" style="143" bestFit="1" customWidth="1"/>
    <col min="10506" max="10506" width="2.75" style="143" customWidth="1"/>
    <col min="10507" max="10507" width="10.125" style="143" bestFit="1" customWidth="1"/>
    <col min="10508" max="10752" width="10" style="143"/>
    <col min="10753" max="10753" width="25.625" style="143" customWidth="1"/>
    <col min="10754" max="10754" width="10" style="143"/>
    <col min="10755" max="10755" width="11" style="143" bestFit="1" customWidth="1"/>
    <col min="10756" max="10756" width="9.625" style="143" bestFit="1" customWidth="1"/>
    <col min="10757" max="10757" width="10.75" style="143" bestFit="1" customWidth="1"/>
    <col min="10758" max="10758" width="8.25" style="143" customWidth="1"/>
    <col min="10759" max="10759" width="8.375" style="143" bestFit="1" customWidth="1"/>
    <col min="10760" max="10760" width="1.375" style="143" customWidth="1"/>
    <col min="10761" max="10761" width="10.625" style="143" bestFit="1" customWidth="1"/>
    <col min="10762" max="10762" width="2.75" style="143" customWidth="1"/>
    <col min="10763" max="10763" width="10.125" style="143" bestFit="1" customWidth="1"/>
    <col min="10764" max="11008" width="10" style="143"/>
    <col min="11009" max="11009" width="25.625" style="143" customWidth="1"/>
    <col min="11010" max="11010" width="10" style="143"/>
    <col min="11011" max="11011" width="11" style="143" bestFit="1" customWidth="1"/>
    <col min="11012" max="11012" width="9.625" style="143" bestFit="1" customWidth="1"/>
    <col min="11013" max="11013" width="10.75" style="143" bestFit="1" customWidth="1"/>
    <col min="11014" max="11014" width="8.25" style="143" customWidth="1"/>
    <col min="11015" max="11015" width="8.375" style="143" bestFit="1" customWidth="1"/>
    <col min="11016" max="11016" width="1.375" style="143" customWidth="1"/>
    <col min="11017" max="11017" width="10.625" style="143" bestFit="1" customWidth="1"/>
    <col min="11018" max="11018" width="2.75" style="143" customWidth="1"/>
    <col min="11019" max="11019" width="10.125" style="143" bestFit="1" customWidth="1"/>
    <col min="11020" max="11264" width="11" style="143"/>
    <col min="11265" max="11265" width="25.625" style="143" customWidth="1"/>
    <col min="11266" max="11266" width="10" style="143"/>
    <col min="11267" max="11267" width="11" style="143" bestFit="1" customWidth="1"/>
    <col min="11268" max="11268" width="9.625" style="143" bestFit="1" customWidth="1"/>
    <col min="11269" max="11269" width="10.75" style="143" bestFit="1" customWidth="1"/>
    <col min="11270" max="11270" width="8.25" style="143" customWidth="1"/>
    <col min="11271" max="11271" width="8.375" style="143" bestFit="1" customWidth="1"/>
    <col min="11272" max="11272" width="1.375" style="143" customWidth="1"/>
    <col min="11273" max="11273" width="10.625" style="143" bestFit="1" customWidth="1"/>
    <col min="11274" max="11274" width="2.75" style="143" customWidth="1"/>
    <col min="11275" max="11275" width="10.125" style="143" bestFit="1" customWidth="1"/>
    <col min="11276" max="11520" width="10" style="143"/>
    <col min="11521" max="11521" width="25.625" style="143" customWidth="1"/>
    <col min="11522" max="11522" width="10" style="143"/>
    <col min="11523" max="11523" width="11" style="143" bestFit="1" customWidth="1"/>
    <col min="11524" max="11524" width="9.625" style="143" bestFit="1" customWidth="1"/>
    <col min="11525" max="11525" width="10.75" style="143" bestFit="1" customWidth="1"/>
    <col min="11526" max="11526" width="8.25" style="143" customWidth="1"/>
    <col min="11527" max="11527" width="8.375" style="143" bestFit="1" customWidth="1"/>
    <col min="11528" max="11528" width="1.375" style="143" customWidth="1"/>
    <col min="11529" max="11529" width="10.625" style="143" bestFit="1" customWidth="1"/>
    <col min="11530" max="11530" width="2.75" style="143" customWidth="1"/>
    <col min="11531" max="11531" width="10.125" style="143" bestFit="1" customWidth="1"/>
    <col min="11532" max="11776" width="10" style="143"/>
    <col min="11777" max="11777" width="25.625" style="143" customWidth="1"/>
    <col min="11778" max="11778" width="10" style="143"/>
    <col min="11779" max="11779" width="11" style="143" bestFit="1" customWidth="1"/>
    <col min="11780" max="11780" width="9.625" style="143" bestFit="1" customWidth="1"/>
    <col min="11781" max="11781" width="10.75" style="143" bestFit="1" customWidth="1"/>
    <col min="11782" max="11782" width="8.25" style="143" customWidth="1"/>
    <col min="11783" max="11783" width="8.375" style="143" bestFit="1" customWidth="1"/>
    <col min="11784" max="11784" width="1.375" style="143" customWidth="1"/>
    <col min="11785" max="11785" width="10.625" style="143" bestFit="1" customWidth="1"/>
    <col min="11786" max="11786" width="2.75" style="143" customWidth="1"/>
    <col min="11787" max="11787" width="10.125" style="143" bestFit="1" customWidth="1"/>
    <col min="11788" max="12032" width="10" style="143"/>
    <col min="12033" max="12033" width="25.625" style="143" customWidth="1"/>
    <col min="12034" max="12034" width="10" style="143"/>
    <col min="12035" max="12035" width="11" style="143" bestFit="1" customWidth="1"/>
    <col min="12036" max="12036" width="9.625" style="143" bestFit="1" customWidth="1"/>
    <col min="12037" max="12037" width="10.75" style="143" bestFit="1" customWidth="1"/>
    <col min="12038" max="12038" width="8.25" style="143" customWidth="1"/>
    <col min="12039" max="12039" width="8.375" style="143" bestFit="1" customWidth="1"/>
    <col min="12040" max="12040" width="1.375" style="143" customWidth="1"/>
    <col min="12041" max="12041" width="10.625" style="143" bestFit="1" customWidth="1"/>
    <col min="12042" max="12042" width="2.75" style="143" customWidth="1"/>
    <col min="12043" max="12043" width="10.125" style="143" bestFit="1" customWidth="1"/>
    <col min="12044" max="12288" width="11" style="143"/>
    <col min="12289" max="12289" width="25.625" style="143" customWidth="1"/>
    <col min="12290" max="12290" width="10" style="143"/>
    <col min="12291" max="12291" width="11" style="143" bestFit="1" customWidth="1"/>
    <col min="12292" max="12292" width="9.625" style="143" bestFit="1" customWidth="1"/>
    <col min="12293" max="12293" width="10.75" style="143" bestFit="1" customWidth="1"/>
    <col min="12294" max="12294" width="8.25" style="143" customWidth="1"/>
    <col min="12295" max="12295" width="8.375" style="143" bestFit="1" customWidth="1"/>
    <col min="12296" max="12296" width="1.375" style="143" customWidth="1"/>
    <col min="12297" max="12297" width="10.625" style="143" bestFit="1" customWidth="1"/>
    <col min="12298" max="12298" width="2.75" style="143" customWidth="1"/>
    <col min="12299" max="12299" width="10.125" style="143" bestFit="1" customWidth="1"/>
    <col min="12300" max="12544" width="10" style="143"/>
    <col min="12545" max="12545" width="25.625" style="143" customWidth="1"/>
    <col min="12546" max="12546" width="10" style="143"/>
    <col min="12547" max="12547" width="11" style="143" bestFit="1" customWidth="1"/>
    <col min="12548" max="12548" width="9.625" style="143" bestFit="1" customWidth="1"/>
    <col min="12549" max="12549" width="10.75" style="143" bestFit="1" customWidth="1"/>
    <col min="12550" max="12550" width="8.25" style="143" customWidth="1"/>
    <col min="12551" max="12551" width="8.375" style="143" bestFit="1" customWidth="1"/>
    <col min="12552" max="12552" width="1.375" style="143" customWidth="1"/>
    <col min="12553" max="12553" width="10.625" style="143" bestFit="1" customWidth="1"/>
    <col min="12554" max="12554" width="2.75" style="143" customWidth="1"/>
    <col min="12555" max="12555" width="10.125" style="143" bestFit="1" customWidth="1"/>
    <col min="12556" max="12800" width="10" style="143"/>
    <col min="12801" max="12801" width="25.625" style="143" customWidth="1"/>
    <col min="12802" max="12802" width="10" style="143"/>
    <col min="12803" max="12803" width="11" style="143" bestFit="1" customWidth="1"/>
    <col min="12804" max="12804" width="9.625" style="143" bestFit="1" customWidth="1"/>
    <col min="12805" max="12805" width="10.75" style="143" bestFit="1" customWidth="1"/>
    <col min="12806" max="12806" width="8.25" style="143" customWidth="1"/>
    <col min="12807" max="12807" width="8.375" style="143" bestFit="1" customWidth="1"/>
    <col min="12808" max="12808" width="1.375" style="143" customWidth="1"/>
    <col min="12809" max="12809" width="10.625" style="143" bestFit="1" customWidth="1"/>
    <col min="12810" max="12810" width="2.75" style="143" customWidth="1"/>
    <col min="12811" max="12811" width="10.125" style="143" bestFit="1" customWidth="1"/>
    <col min="12812" max="13056" width="10" style="143"/>
    <col min="13057" max="13057" width="25.625" style="143" customWidth="1"/>
    <col min="13058" max="13058" width="10" style="143"/>
    <col min="13059" max="13059" width="11" style="143" bestFit="1" customWidth="1"/>
    <col min="13060" max="13060" width="9.625" style="143" bestFit="1" customWidth="1"/>
    <col min="13061" max="13061" width="10.75" style="143" bestFit="1" customWidth="1"/>
    <col min="13062" max="13062" width="8.25" style="143" customWidth="1"/>
    <col min="13063" max="13063" width="8.375" style="143" bestFit="1" customWidth="1"/>
    <col min="13064" max="13064" width="1.375" style="143" customWidth="1"/>
    <col min="13065" max="13065" width="10.625" style="143" bestFit="1" customWidth="1"/>
    <col min="13066" max="13066" width="2.75" style="143" customWidth="1"/>
    <col min="13067" max="13067" width="10.125" style="143" bestFit="1" customWidth="1"/>
    <col min="13068" max="13312" width="11" style="143"/>
    <col min="13313" max="13313" width="25.625" style="143" customWidth="1"/>
    <col min="13314" max="13314" width="10" style="143"/>
    <col min="13315" max="13315" width="11" style="143" bestFit="1" customWidth="1"/>
    <col min="13316" max="13316" width="9.625" style="143" bestFit="1" customWidth="1"/>
    <col min="13317" max="13317" width="10.75" style="143" bestFit="1" customWidth="1"/>
    <col min="13318" max="13318" width="8.25" style="143" customWidth="1"/>
    <col min="13319" max="13319" width="8.375" style="143" bestFit="1" customWidth="1"/>
    <col min="13320" max="13320" width="1.375" style="143" customWidth="1"/>
    <col min="13321" max="13321" width="10.625" style="143" bestFit="1" customWidth="1"/>
    <col min="13322" max="13322" width="2.75" style="143" customWidth="1"/>
    <col min="13323" max="13323" width="10.125" style="143" bestFit="1" customWidth="1"/>
    <col min="13324" max="13568" width="10" style="143"/>
    <col min="13569" max="13569" width="25.625" style="143" customWidth="1"/>
    <col min="13570" max="13570" width="10" style="143"/>
    <col min="13571" max="13571" width="11" style="143" bestFit="1" customWidth="1"/>
    <col min="13572" max="13572" width="9.625" style="143" bestFit="1" customWidth="1"/>
    <col min="13573" max="13573" width="10.75" style="143" bestFit="1" customWidth="1"/>
    <col min="13574" max="13574" width="8.25" style="143" customWidth="1"/>
    <col min="13575" max="13575" width="8.375" style="143" bestFit="1" customWidth="1"/>
    <col min="13576" max="13576" width="1.375" style="143" customWidth="1"/>
    <col min="13577" max="13577" width="10.625" style="143" bestFit="1" customWidth="1"/>
    <col min="13578" max="13578" width="2.75" style="143" customWidth="1"/>
    <col min="13579" max="13579" width="10.125" style="143" bestFit="1" customWidth="1"/>
    <col min="13580" max="13824" width="10" style="143"/>
    <col min="13825" max="13825" width="25.625" style="143" customWidth="1"/>
    <col min="13826" max="13826" width="10" style="143"/>
    <col min="13827" max="13827" width="11" style="143" bestFit="1" customWidth="1"/>
    <col min="13828" max="13828" width="9.625" style="143" bestFit="1" customWidth="1"/>
    <col min="13829" max="13829" width="10.75" style="143" bestFit="1" customWidth="1"/>
    <col min="13830" max="13830" width="8.25" style="143" customWidth="1"/>
    <col min="13831" max="13831" width="8.375" style="143" bestFit="1" customWidth="1"/>
    <col min="13832" max="13832" width="1.375" style="143" customWidth="1"/>
    <col min="13833" max="13833" width="10.625" style="143" bestFit="1" customWidth="1"/>
    <col min="13834" max="13834" width="2.75" style="143" customWidth="1"/>
    <col min="13835" max="13835" width="10.125" style="143" bestFit="1" customWidth="1"/>
    <col min="13836" max="14080" width="10" style="143"/>
    <col min="14081" max="14081" width="25.625" style="143" customWidth="1"/>
    <col min="14082" max="14082" width="10" style="143"/>
    <col min="14083" max="14083" width="11" style="143" bestFit="1" customWidth="1"/>
    <col min="14084" max="14084" width="9.625" style="143" bestFit="1" customWidth="1"/>
    <col min="14085" max="14085" width="10.75" style="143" bestFit="1" customWidth="1"/>
    <col min="14086" max="14086" width="8.25" style="143" customWidth="1"/>
    <col min="14087" max="14087" width="8.375" style="143" bestFit="1" customWidth="1"/>
    <col min="14088" max="14088" width="1.375" style="143" customWidth="1"/>
    <col min="14089" max="14089" width="10.625" style="143" bestFit="1" customWidth="1"/>
    <col min="14090" max="14090" width="2.75" style="143" customWidth="1"/>
    <col min="14091" max="14091" width="10.125" style="143" bestFit="1" customWidth="1"/>
    <col min="14092" max="14336" width="11" style="143"/>
    <col min="14337" max="14337" width="25.625" style="143" customWidth="1"/>
    <col min="14338" max="14338" width="10" style="143"/>
    <col min="14339" max="14339" width="11" style="143" bestFit="1" customWidth="1"/>
    <col min="14340" max="14340" width="9.625" style="143" bestFit="1" customWidth="1"/>
    <col min="14341" max="14341" width="10.75" style="143" bestFit="1" customWidth="1"/>
    <col min="14342" max="14342" width="8.25" style="143" customWidth="1"/>
    <col min="14343" max="14343" width="8.375" style="143" bestFit="1" customWidth="1"/>
    <col min="14344" max="14344" width="1.375" style="143" customWidth="1"/>
    <col min="14345" max="14345" width="10.625" style="143" bestFit="1" customWidth="1"/>
    <col min="14346" max="14346" width="2.75" style="143" customWidth="1"/>
    <col min="14347" max="14347" width="10.125" style="143" bestFit="1" customWidth="1"/>
    <col min="14348" max="14592" width="10" style="143"/>
    <col min="14593" max="14593" width="25.625" style="143" customWidth="1"/>
    <col min="14594" max="14594" width="10" style="143"/>
    <col min="14595" max="14595" width="11" style="143" bestFit="1" customWidth="1"/>
    <col min="14596" max="14596" width="9.625" style="143" bestFit="1" customWidth="1"/>
    <col min="14597" max="14597" width="10.75" style="143" bestFit="1" customWidth="1"/>
    <col min="14598" max="14598" width="8.25" style="143" customWidth="1"/>
    <col min="14599" max="14599" width="8.375" style="143" bestFit="1" customWidth="1"/>
    <col min="14600" max="14600" width="1.375" style="143" customWidth="1"/>
    <col min="14601" max="14601" width="10.625" style="143" bestFit="1" customWidth="1"/>
    <col min="14602" max="14602" width="2.75" style="143" customWidth="1"/>
    <col min="14603" max="14603" width="10.125" style="143" bestFit="1" customWidth="1"/>
    <col min="14604" max="14848" width="10" style="143"/>
    <col min="14849" max="14849" width="25.625" style="143" customWidth="1"/>
    <col min="14850" max="14850" width="10" style="143"/>
    <col min="14851" max="14851" width="11" style="143" bestFit="1" customWidth="1"/>
    <col min="14852" max="14852" width="9.625" style="143" bestFit="1" customWidth="1"/>
    <col min="14853" max="14853" width="10.75" style="143" bestFit="1" customWidth="1"/>
    <col min="14854" max="14854" width="8.25" style="143" customWidth="1"/>
    <col min="14855" max="14855" width="8.375" style="143" bestFit="1" customWidth="1"/>
    <col min="14856" max="14856" width="1.375" style="143" customWidth="1"/>
    <col min="14857" max="14857" width="10.625" style="143" bestFit="1" customWidth="1"/>
    <col min="14858" max="14858" width="2.75" style="143" customWidth="1"/>
    <col min="14859" max="14859" width="10.125" style="143" bestFit="1" customWidth="1"/>
    <col min="14860" max="15104" width="10" style="143"/>
    <col min="15105" max="15105" width="25.625" style="143" customWidth="1"/>
    <col min="15106" max="15106" width="10" style="143"/>
    <col min="15107" max="15107" width="11" style="143" bestFit="1" customWidth="1"/>
    <col min="15108" max="15108" width="9.625" style="143" bestFit="1" customWidth="1"/>
    <col min="15109" max="15109" width="10.75" style="143" bestFit="1" customWidth="1"/>
    <col min="15110" max="15110" width="8.25" style="143" customWidth="1"/>
    <col min="15111" max="15111" width="8.375" style="143" bestFit="1" customWidth="1"/>
    <col min="15112" max="15112" width="1.375" style="143" customWidth="1"/>
    <col min="15113" max="15113" width="10.625" style="143" bestFit="1" customWidth="1"/>
    <col min="15114" max="15114" width="2.75" style="143" customWidth="1"/>
    <col min="15115" max="15115" width="10.125" style="143" bestFit="1" customWidth="1"/>
    <col min="15116" max="15360" width="11" style="143"/>
    <col min="15361" max="15361" width="25.625" style="143" customWidth="1"/>
    <col min="15362" max="15362" width="10" style="143"/>
    <col min="15363" max="15363" width="11" style="143" bestFit="1" customWidth="1"/>
    <col min="15364" max="15364" width="9.625" style="143" bestFit="1" customWidth="1"/>
    <col min="15365" max="15365" width="10.75" style="143" bestFit="1" customWidth="1"/>
    <col min="15366" max="15366" width="8.25" style="143" customWidth="1"/>
    <col min="15367" max="15367" width="8.375" style="143" bestFit="1" customWidth="1"/>
    <col min="15368" max="15368" width="1.375" style="143" customWidth="1"/>
    <col min="15369" max="15369" width="10.625" style="143" bestFit="1" customWidth="1"/>
    <col min="15370" max="15370" width="2.75" style="143" customWidth="1"/>
    <col min="15371" max="15371" width="10.125" style="143" bestFit="1" customWidth="1"/>
    <col min="15372" max="15616" width="10" style="143"/>
    <col min="15617" max="15617" width="25.625" style="143" customWidth="1"/>
    <col min="15618" max="15618" width="10" style="143"/>
    <col min="15619" max="15619" width="11" style="143" bestFit="1" customWidth="1"/>
    <col min="15620" max="15620" width="9.625" style="143" bestFit="1" customWidth="1"/>
    <col min="15621" max="15621" width="10.75" style="143" bestFit="1" customWidth="1"/>
    <col min="15622" max="15622" width="8.25" style="143" customWidth="1"/>
    <col min="15623" max="15623" width="8.375" style="143" bestFit="1" customWidth="1"/>
    <col min="15624" max="15624" width="1.375" style="143" customWidth="1"/>
    <col min="15625" max="15625" width="10.625" style="143" bestFit="1" customWidth="1"/>
    <col min="15626" max="15626" width="2.75" style="143" customWidth="1"/>
    <col min="15627" max="15627" width="10.125" style="143" bestFit="1" customWidth="1"/>
    <col min="15628" max="15872" width="10" style="143"/>
    <col min="15873" max="15873" width="25.625" style="143" customWidth="1"/>
    <col min="15874" max="15874" width="10" style="143"/>
    <col min="15875" max="15875" width="11" style="143" bestFit="1" customWidth="1"/>
    <col min="15876" max="15876" width="9.625" style="143" bestFit="1" customWidth="1"/>
    <col min="15877" max="15877" width="10.75" style="143" bestFit="1" customWidth="1"/>
    <col min="15878" max="15878" width="8.25" style="143" customWidth="1"/>
    <col min="15879" max="15879" width="8.375" style="143" bestFit="1" customWidth="1"/>
    <col min="15880" max="15880" width="1.375" style="143" customWidth="1"/>
    <col min="15881" max="15881" width="10.625" style="143" bestFit="1" customWidth="1"/>
    <col min="15882" max="15882" width="2.75" style="143" customWidth="1"/>
    <col min="15883" max="15883" width="10.125" style="143" bestFit="1" customWidth="1"/>
    <col min="15884" max="16128" width="10" style="143"/>
    <col min="16129" max="16129" width="25.625" style="143" customWidth="1"/>
    <col min="16130" max="16130" width="10" style="143"/>
    <col min="16131" max="16131" width="11" style="143" bestFit="1" customWidth="1"/>
    <col min="16132" max="16132" width="9.625" style="143" bestFit="1" customWidth="1"/>
    <col min="16133" max="16133" width="10.75" style="143" bestFit="1" customWidth="1"/>
    <col min="16134" max="16134" width="8.25" style="143" customWidth="1"/>
    <col min="16135" max="16135" width="8.375" style="143" bestFit="1" customWidth="1"/>
    <col min="16136" max="16136" width="1.375" style="143" customWidth="1"/>
    <col min="16137" max="16137" width="10.625" style="143" bestFit="1" customWidth="1"/>
    <col min="16138" max="16138" width="2.75" style="143" customWidth="1"/>
    <col min="16139" max="16139" width="10.125" style="143" bestFit="1" customWidth="1"/>
    <col min="16140" max="16384" width="11" style="143"/>
  </cols>
  <sheetData>
    <row r="1" spans="1:14" ht="16.5" x14ac:dyDescent="0.3">
      <c r="A1" s="512" t="s">
        <v>464</v>
      </c>
    </row>
    <row r="2" spans="1:14" ht="21" customHeight="1" x14ac:dyDescent="0.3">
      <c r="A2" s="631" t="s">
        <v>342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/>
      <c r="M2"/>
      <c r="N2"/>
    </row>
    <row r="3" spans="1:14" ht="16.5" x14ac:dyDescent="0.3">
      <c r="A3"/>
      <c r="B3"/>
      <c r="C3"/>
      <c r="D3"/>
      <c r="E3"/>
      <c r="F3"/>
      <c r="G3"/>
      <c r="I3"/>
      <c r="J3"/>
      <c r="K3"/>
      <c r="L3"/>
      <c r="M3"/>
      <c r="N3"/>
    </row>
    <row r="4" spans="1:14" ht="45" x14ac:dyDescent="0.3">
      <c r="A4" s="134" t="s">
        <v>547</v>
      </c>
      <c r="B4" s="134" t="s">
        <v>548</v>
      </c>
      <c r="C4" s="134" t="s">
        <v>549</v>
      </c>
      <c r="D4" s="134" t="s">
        <v>550</v>
      </c>
      <c r="E4" s="134" t="s">
        <v>551</v>
      </c>
      <c r="F4" s="134" t="s">
        <v>552</v>
      </c>
      <c r="G4" s="134" t="s">
        <v>553</v>
      </c>
      <c r="I4" s="134" t="s">
        <v>554</v>
      </c>
      <c r="J4"/>
      <c r="K4" s="134" t="s">
        <v>555</v>
      </c>
      <c r="L4"/>
      <c r="M4"/>
      <c r="N4"/>
    </row>
    <row r="5" spans="1:14" ht="16.5" x14ac:dyDescent="0.3">
      <c r="A5" s="400" t="s">
        <v>556</v>
      </c>
      <c r="B5" s="400"/>
      <c r="C5" s="400"/>
      <c r="D5" s="400"/>
      <c r="E5" s="400"/>
      <c r="F5" s="400"/>
      <c r="G5" s="134"/>
      <c r="I5" s="134"/>
      <c r="J5"/>
      <c r="K5" s="134"/>
      <c r="L5"/>
      <c r="M5"/>
      <c r="N5"/>
    </row>
    <row r="6" spans="1:14" ht="16.5" x14ac:dyDescent="0.3">
      <c r="A6" s="401" t="str">
        <f>+'INVERSION TOTAL'!A50</f>
        <v>CERVEZA</v>
      </c>
      <c r="B6" s="402">
        <f>+'INVERSION TOTAL'!C50</f>
        <v>2160</v>
      </c>
      <c r="C6" s="403">
        <f>B6/$B$25</f>
        <v>0.55641421947449765</v>
      </c>
      <c r="D6" s="404">
        <f>'COSTO DE PRODUCCION'!Z29</f>
        <v>5</v>
      </c>
      <c r="E6" s="404">
        <f>'COSTO DE PRODUCCION'!Y29</f>
        <v>3.7288000000000001</v>
      </c>
      <c r="F6" s="404">
        <f>D6-E6</f>
        <v>1.2711999999999999</v>
      </c>
      <c r="G6" s="405">
        <f>C6*F6</f>
        <v>0.70731375579598132</v>
      </c>
      <c r="H6" s="406"/>
      <c r="I6" s="407">
        <f t="shared" ref="I6:I22" si="0">($B$29/$G$25)*C6</f>
        <v>23.786684288756433</v>
      </c>
      <c r="J6"/>
      <c r="K6" s="405">
        <f t="shared" ref="K6:K19" si="1">I6*D6</f>
        <v>118.93342144378217</v>
      </c>
      <c r="L6"/>
      <c r="M6"/>
      <c r="N6"/>
    </row>
    <row r="7" spans="1:14" ht="16.5" x14ac:dyDescent="0.3">
      <c r="A7" s="401" t="str">
        <f>+'INVERSION TOTAL'!A51</f>
        <v>PISCO</v>
      </c>
      <c r="B7" s="402">
        <f>+'INVERSION TOTAL'!C51</f>
        <v>216</v>
      </c>
      <c r="C7" s="403">
        <f t="shared" ref="C7:C22" si="2">B7/$B$25</f>
        <v>5.5641421947449768E-2</v>
      </c>
      <c r="D7" s="404">
        <f>+'COSTO DE PRODUCCION'!V30</f>
        <v>20</v>
      </c>
      <c r="E7" s="404">
        <f>'COSTO DE PRODUCCION'!T30</f>
        <v>7.51</v>
      </c>
      <c r="F7" s="404">
        <f t="shared" ref="F7:F22" si="3">D7-E7</f>
        <v>12.49</v>
      </c>
      <c r="G7" s="405">
        <f t="shared" ref="G7:G22" si="4">F7*C7</f>
        <v>0.69496136012364762</v>
      </c>
      <c r="H7" s="406"/>
      <c r="I7" s="407">
        <f t="shared" si="0"/>
        <v>2.3786684288756437</v>
      </c>
      <c r="J7"/>
      <c r="K7" s="405">
        <f t="shared" si="1"/>
        <v>47.573368577512873</v>
      </c>
      <c r="L7"/>
      <c r="M7"/>
      <c r="N7"/>
    </row>
    <row r="8" spans="1:14" ht="16.5" x14ac:dyDescent="0.3">
      <c r="A8" s="401" t="str">
        <f>+'INVERSION TOTAL'!A52</f>
        <v>VINO</v>
      </c>
      <c r="B8" s="402">
        <f>+'INVERSION TOTAL'!C52</f>
        <v>180</v>
      </c>
      <c r="C8" s="403">
        <f>B8/$B$25</f>
        <v>4.6367851622874809E-2</v>
      </c>
      <c r="D8" s="404">
        <f>+'COSTO DE PRODUCCION'!V31</f>
        <v>20</v>
      </c>
      <c r="E8" s="404">
        <f>'COSTO DE PRODUCCION'!T31</f>
        <v>12</v>
      </c>
      <c r="F8" s="404">
        <f t="shared" si="3"/>
        <v>8</v>
      </c>
      <c r="G8" s="405">
        <f t="shared" si="4"/>
        <v>0.37094281298299847</v>
      </c>
      <c r="H8" s="406"/>
      <c r="I8" s="407">
        <f t="shared" si="0"/>
        <v>1.9822236907297031</v>
      </c>
      <c r="J8"/>
      <c r="K8" s="405">
        <f t="shared" si="1"/>
        <v>39.644473814594065</v>
      </c>
      <c r="L8"/>
      <c r="M8"/>
      <c r="N8"/>
    </row>
    <row r="9" spans="1:14" ht="16.5" x14ac:dyDescent="0.3">
      <c r="A9" s="401" t="str">
        <f>+'INVERSION TOTAL'!A53</f>
        <v>RON</v>
      </c>
      <c r="B9" s="402">
        <f>+'INVERSION TOTAL'!C53</f>
        <v>72</v>
      </c>
      <c r="C9" s="403">
        <f t="shared" si="2"/>
        <v>1.8547140649149921E-2</v>
      </c>
      <c r="D9" s="404">
        <f>+'COSTO DE PRODUCCION'!V32</f>
        <v>20</v>
      </c>
      <c r="E9" s="404">
        <f>'COSTO DE PRODUCCION'!T32</f>
        <v>14</v>
      </c>
      <c r="F9" s="404">
        <f t="shared" si="3"/>
        <v>6</v>
      </c>
      <c r="G9" s="405">
        <f t="shared" si="4"/>
        <v>0.11128284389489954</v>
      </c>
      <c r="H9" s="406"/>
      <c r="I9" s="407">
        <f t="shared" si="0"/>
        <v>0.79288947629188111</v>
      </c>
      <c r="J9"/>
      <c r="K9" s="405">
        <f t="shared" si="1"/>
        <v>15.857789525837623</v>
      </c>
      <c r="L9"/>
      <c r="M9"/>
      <c r="N9"/>
    </row>
    <row r="10" spans="1:14" ht="16.5" x14ac:dyDescent="0.3">
      <c r="A10" s="401" t="str">
        <f>+'INVERSION TOTAL'!A54</f>
        <v>CAIPIRINHA</v>
      </c>
      <c r="B10" s="402">
        <f>+'INVERSION TOTAL'!C54</f>
        <v>120</v>
      </c>
      <c r="C10" s="403">
        <f t="shared" si="2"/>
        <v>3.0911901081916538E-2</v>
      </c>
      <c r="D10" s="404">
        <f>+'COSTO DE PRODUCCION'!V33</f>
        <v>25</v>
      </c>
      <c r="E10" s="404">
        <f>'COSTO DE PRODUCCION'!T33</f>
        <v>10.555000000000001</v>
      </c>
      <c r="F10" s="404">
        <f t="shared" si="3"/>
        <v>14.444999999999999</v>
      </c>
      <c r="G10" s="405">
        <f t="shared" si="4"/>
        <v>0.44652241112828434</v>
      </c>
      <c r="H10" s="406"/>
      <c r="I10" s="407">
        <f t="shared" si="0"/>
        <v>1.3214824604864686</v>
      </c>
      <c r="J10"/>
      <c r="K10" s="405">
        <f t="shared" si="1"/>
        <v>33.037061512161713</v>
      </c>
      <c r="L10"/>
      <c r="M10"/>
      <c r="N10"/>
    </row>
    <row r="11" spans="1:14" ht="16.5" x14ac:dyDescent="0.3">
      <c r="A11" s="401" t="str">
        <f>+'INVERSION TOTAL'!A55</f>
        <v>SANGRIA</v>
      </c>
      <c r="B11" s="402">
        <f>+'INVERSION TOTAL'!C55</f>
        <v>96</v>
      </c>
      <c r="C11" s="403">
        <f t="shared" si="2"/>
        <v>2.472952086553323E-2</v>
      </c>
      <c r="D11" s="404">
        <f>+'COSTO DE PRODUCCION'!V34</f>
        <v>25</v>
      </c>
      <c r="E11" s="404">
        <f>'COSTO DE PRODUCCION'!T34</f>
        <v>9.6499999999999986</v>
      </c>
      <c r="F11" s="404">
        <f t="shared" si="3"/>
        <v>15.350000000000001</v>
      </c>
      <c r="G11" s="405">
        <f t="shared" si="4"/>
        <v>0.37959814528593511</v>
      </c>
      <c r="H11" s="406"/>
      <c r="I11" s="407">
        <f t="shared" si="0"/>
        <v>1.0571859683891749</v>
      </c>
      <c r="J11"/>
      <c r="K11" s="405">
        <f t="shared" si="1"/>
        <v>26.429649209729373</v>
      </c>
      <c r="L11"/>
      <c r="M11"/>
      <c r="N11"/>
    </row>
    <row r="12" spans="1:14" ht="16.5" x14ac:dyDescent="0.3">
      <c r="A12" s="401" t="str">
        <f>+'INVERSION TOTAL'!A56</f>
        <v>PISCO SOUR</v>
      </c>
      <c r="B12" s="402">
        <f>+'INVERSION TOTAL'!C56</f>
        <v>120</v>
      </c>
      <c r="C12" s="403">
        <f t="shared" si="2"/>
        <v>3.0911901081916538E-2</v>
      </c>
      <c r="D12" s="404">
        <f>+'COSTO DE PRODUCCION'!V35</f>
        <v>25</v>
      </c>
      <c r="E12" s="404">
        <f>'COSTO DE PRODUCCION'!T35</f>
        <v>9.6999999999999993</v>
      </c>
      <c r="F12" s="404">
        <f t="shared" si="3"/>
        <v>15.3</v>
      </c>
      <c r="G12" s="405">
        <f t="shared" si="4"/>
        <v>0.47295208655332305</v>
      </c>
      <c r="H12" s="406"/>
      <c r="I12" s="407">
        <f t="shared" si="0"/>
        <v>1.3214824604864686</v>
      </c>
      <c r="J12"/>
      <c r="K12" s="405">
        <f t="shared" si="1"/>
        <v>33.037061512161713</v>
      </c>
      <c r="L12"/>
      <c r="M12"/>
      <c r="N12"/>
    </row>
    <row r="13" spans="1:14" ht="16.5" x14ac:dyDescent="0.3">
      <c r="A13" s="401" t="str">
        <f>+'INVERSION TOTAL'!A57</f>
        <v>CHILCANO</v>
      </c>
      <c r="B13" s="402">
        <f>+'INVERSION TOTAL'!C57</f>
        <v>72</v>
      </c>
      <c r="C13" s="403">
        <f t="shared" si="2"/>
        <v>1.8547140649149921E-2</v>
      </c>
      <c r="D13" s="404">
        <f>+'COSTO DE PRODUCCION'!V36</f>
        <v>25</v>
      </c>
      <c r="E13" s="404">
        <f>'COSTO DE PRODUCCION'!T36</f>
        <v>8.4</v>
      </c>
      <c r="F13" s="404">
        <f t="shared" si="3"/>
        <v>16.600000000000001</v>
      </c>
      <c r="G13" s="405">
        <f t="shared" si="4"/>
        <v>0.30788253477588873</v>
      </c>
      <c r="H13" s="406"/>
      <c r="I13" s="407">
        <f t="shared" si="0"/>
        <v>0.79288947629188111</v>
      </c>
      <c r="J13"/>
      <c r="K13" s="405">
        <f t="shared" si="1"/>
        <v>19.822236907297029</v>
      </c>
      <c r="L13"/>
      <c r="M13"/>
      <c r="N13"/>
    </row>
    <row r="14" spans="1:14" ht="16.5" x14ac:dyDescent="0.3">
      <c r="A14" s="401" t="str">
        <f>+'INVERSION TOTAL'!A58</f>
        <v>MACHU PICCHU</v>
      </c>
      <c r="B14" s="402">
        <f>+'INVERSION TOTAL'!C58</f>
        <v>96</v>
      </c>
      <c r="C14" s="403">
        <f t="shared" si="2"/>
        <v>2.472952086553323E-2</v>
      </c>
      <c r="D14" s="404">
        <f>+'COSTO DE PRODUCCION'!V37</f>
        <v>30</v>
      </c>
      <c r="E14" s="404">
        <f>'COSTO DE PRODUCCION'!T37</f>
        <v>9.4499999999999993</v>
      </c>
      <c r="F14" s="404">
        <f t="shared" si="3"/>
        <v>20.55</v>
      </c>
      <c r="G14" s="405">
        <f t="shared" si="4"/>
        <v>0.50819165378670794</v>
      </c>
      <c r="H14" s="406"/>
      <c r="I14" s="407">
        <f t="shared" si="0"/>
        <v>1.0571859683891749</v>
      </c>
      <c r="J14"/>
      <c r="K14" s="405">
        <f t="shared" si="1"/>
        <v>31.715579051675245</v>
      </c>
      <c r="L14"/>
      <c r="M14"/>
      <c r="N14"/>
    </row>
    <row r="15" spans="1:14" ht="16.5" x14ac:dyDescent="0.3">
      <c r="A15" s="401" t="str">
        <f>+'INVERSION TOTAL'!A59</f>
        <v>PIÑA COLADA</v>
      </c>
      <c r="B15" s="402">
        <f>+'INVERSION TOTAL'!C59</f>
        <v>144</v>
      </c>
      <c r="C15" s="403">
        <f t="shared" si="2"/>
        <v>3.7094281298299843E-2</v>
      </c>
      <c r="D15" s="404">
        <f>+'COSTO DE PRODUCCION'!V38</f>
        <v>25</v>
      </c>
      <c r="E15" s="404">
        <f>'COSTO DE PRODUCCION'!T38</f>
        <v>6.76</v>
      </c>
      <c r="F15" s="404">
        <f t="shared" si="3"/>
        <v>18.240000000000002</v>
      </c>
      <c r="G15" s="405">
        <f t="shared" si="4"/>
        <v>0.67659969088098926</v>
      </c>
      <c r="H15" s="406"/>
      <c r="I15" s="407">
        <f t="shared" si="0"/>
        <v>1.5857789525837622</v>
      </c>
      <c r="J15"/>
      <c r="K15" s="405">
        <f t="shared" si="1"/>
        <v>39.644473814594058</v>
      </c>
      <c r="L15"/>
      <c r="M15"/>
      <c r="N15"/>
    </row>
    <row r="16" spans="1:14" ht="16.5" x14ac:dyDescent="0.3">
      <c r="A16" s="401" t="str">
        <f>+'INVERSION TOTAL'!A60</f>
        <v>TEQUILA</v>
      </c>
      <c r="B16" s="402">
        <f>+'INVERSION TOTAL'!C60</f>
        <v>60</v>
      </c>
      <c r="C16" s="403">
        <f t="shared" si="2"/>
        <v>1.5455950540958269E-2</v>
      </c>
      <c r="D16" s="404">
        <f>+'COSTO DE PRODUCCION'!V39</f>
        <v>40</v>
      </c>
      <c r="E16" s="404">
        <f>'COSTO DE PRODUCCION'!T39</f>
        <v>30.74</v>
      </c>
      <c r="F16" s="404">
        <f t="shared" si="3"/>
        <v>9.2600000000000016</v>
      </c>
      <c r="G16" s="405">
        <f t="shared" si="4"/>
        <v>0.14312210200927358</v>
      </c>
      <c r="H16" s="406"/>
      <c r="I16" s="407">
        <f t="shared" si="0"/>
        <v>0.66074123024323428</v>
      </c>
      <c r="J16"/>
      <c r="K16" s="405">
        <f t="shared" si="1"/>
        <v>26.429649209729369</v>
      </c>
      <c r="L16"/>
      <c r="M16"/>
      <c r="N16"/>
    </row>
    <row r="17" spans="1:14" ht="16.5" x14ac:dyDescent="0.3">
      <c r="A17" s="401" t="str">
        <f>+'INVERSION TOTAL'!A61</f>
        <v>MARGARITA</v>
      </c>
      <c r="B17" s="402">
        <f>+'INVERSION TOTAL'!C61</f>
        <v>120</v>
      </c>
      <c r="C17" s="403">
        <f t="shared" si="2"/>
        <v>3.0911901081916538E-2</v>
      </c>
      <c r="D17" s="404">
        <f>+'COSTO DE PRODUCCION'!V40</f>
        <v>20</v>
      </c>
      <c r="E17" s="404">
        <f>'COSTO DE PRODUCCION'!T40</f>
        <v>11.375</v>
      </c>
      <c r="F17" s="404">
        <f t="shared" si="3"/>
        <v>8.625</v>
      </c>
      <c r="G17" s="405">
        <f t="shared" si="4"/>
        <v>0.26661514683153015</v>
      </c>
      <c r="H17" s="406"/>
      <c r="I17" s="407">
        <f t="shared" si="0"/>
        <v>1.3214824604864686</v>
      </c>
      <c r="J17"/>
      <c r="K17" s="405">
        <f t="shared" si="1"/>
        <v>26.429649209729369</v>
      </c>
      <c r="L17"/>
      <c r="M17"/>
      <c r="N17"/>
    </row>
    <row r="18" spans="1:14" ht="16.5" x14ac:dyDescent="0.3">
      <c r="A18" s="401" t="str">
        <f>+'INVERSION TOTAL'!A62</f>
        <v>WHISKY</v>
      </c>
      <c r="B18" s="402">
        <f>+'INVERSION TOTAL'!C62</f>
        <v>72</v>
      </c>
      <c r="C18" s="403">
        <f t="shared" si="2"/>
        <v>1.8547140649149921E-2</v>
      </c>
      <c r="D18" s="404">
        <f>+'COSTO DE PRODUCCION'!V41</f>
        <v>50</v>
      </c>
      <c r="E18" s="404">
        <f>'COSTO DE PRODUCCION'!T41</f>
        <v>28.84</v>
      </c>
      <c r="F18" s="404">
        <f t="shared" si="3"/>
        <v>21.16</v>
      </c>
      <c r="G18" s="405">
        <f t="shared" si="4"/>
        <v>0.39245749613601233</v>
      </c>
      <c r="H18" s="406"/>
      <c r="I18" s="407">
        <f t="shared" si="0"/>
        <v>0.79288947629188111</v>
      </c>
      <c r="J18"/>
      <c r="K18" s="405">
        <f t="shared" si="1"/>
        <v>39.644473814594058</v>
      </c>
      <c r="L18"/>
      <c r="M18"/>
      <c r="N18"/>
    </row>
    <row r="19" spans="1:14" ht="16.5" x14ac:dyDescent="0.3">
      <c r="A19" s="401" t="str">
        <f>+'INVERSION TOTAL'!A63</f>
        <v>PARA PARA</v>
      </c>
      <c r="B19" s="402">
        <f>+'INVERSION TOTAL'!C63</f>
        <v>97</v>
      </c>
      <c r="C19" s="403">
        <f t="shared" si="2"/>
        <v>2.4987120041215869E-2</v>
      </c>
      <c r="D19" s="404">
        <f>+'COSTO DE PRODUCCION'!V42</f>
        <v>21</v>
      </c>
      <c r="E19" s="404">
        <f>'COSTO DE PRODUCCION'!T42</f>
        <v>10.34</v>
      </c>
      <c r="F19" s="404">
        <f t="shared" si="3"/>
        <v>10.66</v>
      </c>
      <c r="G19" s="405">
        <f t="shared" si="4"/>
        <v>0.26636269963936116</v>
      </c>
      <c r="H19" s="406"/>
      <c r="I19" s="407">
        <f t="shared" si="0"/>
        <v>1.0681983222265623</v>
      </c>
      <c r="J19"/>
      <c r="K19" s="405">
        <f t="shared" si="1"/>
        <v>22.432164766757808</v>
      </c>
      <c r="L19"/>
      <c r="M19"/>
      <c r="N19"/>
    </row>
    <row r="20" spans="1:14" ht="16.5" x14ac:dyDescent="0.3">
      <c r="A20" s="401" t="str">
        <f>+'INVERSION TOTAL'!A64</f>
        <v>LEVANTATE LAZARO</v>
      </c>
      <c r="B20" s="402">
        <f>+'INVERSION TOTAL'!C64</f>
        <v>85</v>
      </c>
      <c r="C20" s="403">
        <f t="shared" si="2"/>
        <v>2.1895929933024215E-2</v>
      </c>
      <c r="D20" s="404">
        <f>+'COSTO DE PRODUCCION'!V43</f>
        <v>23</v>
      </c>
      <c r="E20" s="404">
        <f>'COSTO DE PRODUCCION'!T43</f>
        <v>14.74</v>
      </c>
      <c r="F20" s="404">
        <f t="shared" si="3"/>
        <v>8.26</v>
      </c>
      <c r="G20" s="405">
        <f t="shared" si="4"/>
        <v>0.18086038124678</v>
      </c>
      <c r="H20" s="406"/>
      <c r="I20" s="407">
        <f t="shared" si="0"/>
        <v>0.93605007617791536</v>
      </c>
      <c r="J20"/>
      <c r="K20" s="405"/>
      <c r="L20"/>
      <c r="M20"/>
      <c r="N20"/>
    </row>
    <row r="21" spans="1:14" ht="16.5" x14ac:dyDescent="0.3">
      <c r="A21" s="401" t="str">
        <f>+'INVERSION TOTAL'!A65</f>
        <v>ROMPE CALZON</v>
      </c>
      <c r="B21" s="402">
        <f>+'INVERSION TOTAL'!C65</f>
        <v>81</v>
      </c>
      <c r="C21" s="403">
        <f t="shared" si="2"/>
        <v>2.0865533230293665E-2</v>
      </c>
      <c r="D21" s="404">
        <f>+'COSTO DE PRODUCCION'!V44</f>
        <v>20</v>
      </c>
      <c r="E21" s="404">
        <f>'COSTO DE PRODUCCION'!T44</f>
        <v>12.34</v>
      </c>
      <c r="F21" s="404">
        <f t="shared" si="3"/>
        <v>7.66</v>
      </c>
      <c r="G21" s="405">
        <f t="shared" si="4"/>
        <v>0.15982998454404948</v>
      </c>
      <c r="H21" s="406"/>
      <c r="I21" s="407">
        <f t="shared" si="0"/>
        <v>0.89200066082836638</v>
      </c>
      <c r="J21"/>
      <c r="K21" s="405">
        <f>I21*D21</f>
        <v>17.840013216567328</v>
      </c>
      <c r="L21"/>
      <c r="M21"/>
      <c r="N21"/>
    </row>
    <row r="22" spans="1:14" ht="16.5" x14ac:dyDescent="0.3">
      <c r="A22" s="401" t="str">
        <f>+'INVERSION TOTAL'!A66</f>
        <v>S.V.S.S.</v>
      </c>
      <c r="B22" s="402">
        <f>+'INVERSION TOTAL'!C66</f>
        <v>91</v>
      </c>
      <c r="C22" s="403">
        <f t="shared" si="2"/>
        <v>2.344152498712004E-2</v>
      </c>
      <c r="D22" s="404">
        <f>+'COSTO DE PRODUCCION'!V45</f>
        <v>25</v>
      </c>
      <c r="E22" s="404">
        <f>'COSTO DE PRODUCCION'!T45</f>
        <v>11.34</v>
      </c>
      <c r="F22" s="404">
        <f t="shared" si="3"/>
        <v>13.66</v>
      </c>
      <c r="G22" s="405">
        <f t="shared" si="4"/>
        <v>0.32021123132405976</v>
      </c>
      <c r="H22" s="406"/>
      <c r="I22" s="407">
        <f t="shared" si="0"/>
        <v>1.0021241992022387</v>
      </c>
      <c r="J22"/>
      <c r="K22" s="405">
        <f>I22*D22</f>
        <v>25.053104980055966</v>
      </c>
      <c r="L22"/>
      <c r="M22"/>
      <c r="N22"/>
    </row>
    <row r="23" spans="1:14" ht="16.5" x14ac:dyDescent="0.3">
      <c r="A23" s="408"/>
      <c r="B23" s="409">
        <f>SUM(B6:B22)</f>
        <v>3882</v>
      </c>
      <c r="C23" s="410">
        <f>SUM(C6:C22)</f>
        <v>1.0000000000000002</v>
      </c>
      <c r="D23" s="411">
        <f>SUM(D6:D22)</f>
        <v>419</v>
      </c>
      <c r="E23" s="411">
        <f>SUM(E6:E22)</f>
        <v>211.46880000000004</v>
      </c>
      <c r="F23" s="411">
        <f>SUM(F6:F22)</f>
        <v>207.53119999999996</v>
      </c>
      <c r="G23" s="405">
        <f t="shared" ref="G23" si="5">C23*F23</f>
        <v>207.53120000000001</v>
      </c>
      <c r="H23" s="406"/>
      <c r="I23" s="407">
        <f>$B$29/F23</f>
        <v>42.749957596737275</v>
      </c>
      <c r="J23" s="412"/>
      <c r="K23" s="405">
        <f>E23*I23</f>
        <v>9040.2822330329182</v>
      </c>
      <c r="L23"/>
      <c r="M23"/>
      <c r="N23"/>
    </row>
    <row r="24" spans="1:14" s="7" customFormat="1" ht="16.5" x14ac:dyDescent="0.3">
      <c r="A24" s="413"/>
      <c r="B24" s="414"/>
      <c r="C24" s="415"/>
      <c r="D24" s="414"/>
      <c r="E24" s="414"/>
      <c r="F24" s="414"/>
      <c r="G24" s="414"/>
      <c r="H24" s="416"/>
      <c r="I24" s="414"/>
      <c r="J24" s="417"/>
      <c r="K24" s="418"/>
      <c r="L24"/>
      <c r="M24"/>
      <c r="N24" s="417"/>
    </row>
    <row r="25" spans="1:14" ht="31.5" customHeight="1" x14ac:dyDescent="0.3">
      <c r="A25"/>
      <c r="B25" s="361">
        <f>SUM(B6:B22)</f>
        <v>3882</v>
      </c>
      <c r="C25" s="419">
        <f>C23</f>
        <v>1.0000000000000002</v>
      </c>
      <c r="D25" s="420"/>
      <c r="E25" s="420"/>
      <c r="F25" s="420"/>
      <c r="G25" s="421">
        <f>G23</f>
        <v>207.53120000000001</v>
      </c>
      <c r="H25" s="422"/>
      <c r="I25" s="423">
        <f>I23</f>
        <v>42.749957596737275</v>
      </c>
      <c r="J25"/>
      <c r="K25" s="424">
        <f>K23</f>
        <v>9040.2822330329182</v>
      </c>
      <c r="L25"/>
      <c r="M25"/>
      <c r="N25"/>
    </row>
    <row r="26" spans="1:14" ht="16.5" x14ac:dyDescent="0.3">
      <c r="A26"/>
      <c r="B26"/>
      <c r="C26"/>
      <c r="D26"/>
      <c r="E26"/>
      <c r="F26"/>
      <c r="G26" t="s">
        <v>647</v>
      </c>
      <c r="I26"/>
      <c r="J26"/>
      <c r="K26"/>
      <c r="L26"/>
      <c r="M26"/>
      <c r="N26"/>
    </row>
    <row r="27" spans="1:14" ht="16.5" x14ac:dyDescent="0.3">
      <c r="A27"/>
      <c r="B27"/>
      <c r="C27"/>
      <c r="D27"/>
      <c r="E27"/>
      <c r="F27" s="425"/>
      <c r="G27"/>
      <c r="I27" s="412"/>
      <c r="J27"/>
      <c r="K27"/>
      <c r="L27" s="426"/>
      <c r="M27"/>
      <c r="N27"/>
    </row>
    <row r="28" spans="1:14" ht="17.25" thickBot="1" x14ac:dyDescent="0.35">
      <c r="A28" s="427" t="s">
        <v>557</v>
      </c>
      <c r="B28" s="428" t="s">
        <v>204</v>
      </c>
      <c r="C28"/>
      <c r="D28"/>
      <c r="E28"/>
      <c r="F28"/>
      <c r="G28"/>
      <c r="H28"/>
      <c r="I28"/>
      <c r="J28"/>
      <c r="K28"/>
      <c r="L28"/>
      <c r="M28"/>
      <c r="N28"/>
    </row>
    <row r="29" spans="1:14" ht="17.25" thickBot="1" x14ac:dyDescent="0.35">
      <c r="A29" s="429" t="s">
        <v>558</v>
      </c>
      <c r="B29" s="430">
        <f>'PRESUPUESTO DE GASTOS'!B20+'PRESUPUESTO DE GASTOS'!B26+'PRESUPUESTO DE GASTOS'!B14</f>
        <v>8871.9500000000007</v>
      </c>
      <c r="C29"/>
      <c r="D29"/>
      <c r="E29"/>
      <c r="F29"/>
      <c r="G29"/>
      <c r="H29"/>
      <c r="I29"/>
      <c r="J29"/>
      <c r="K29"/>
      <c r="L29"/>
      <c r="M29"/>
      <c r="N29"/>
    </row>
    <row r="30" spans="1:14" ht="16.5" x14ac:dyDescent="0.3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x14ac:dyDescent="0.25">
      <c r="A31" s="143" t="s">
        <v>559</v>
      </c>
      <c r="B31" s="493">
        <f>B29/G25</f>
        <v>42.749957596737261</v>
      </c>
    </row>
    <row r="32" spans="1:14" ht="15" x14ac:dyDescent="0.25">
      <c r="I32" s="431" t="s">
        <v>559</v>
      </c>
    </row>
    <row r="33" spans="9:9" ht="15" x14ac:dyDescent="0.25">
      <c r="I33" s="432" t="s">
        <v>560</v>
      </c>
    </row>
    <row r="34" spans="9:9" ht="15" x14ac:dyDescent="0.25">
      <c r="I34" s="432" t="s">
        <v>561</v>
      </c>
    </row>
    <row r="35" spans="9:9" ht="15" x14ac:dyDescent="0.25">
      <c r="I35" s="432"/>
    </row>
    <row r="36" spans="9:9" ht="16.5" x14ac:dyDescent="0.3">
      <c r="I36"/>
    </row>
    <row r="37" spans="9:9" ht="15.75" x14ac:dyDescent="0.25">
      <c r="I37" s="433"/>
    </row>
    <row r="38" spans="9:9" ht="15" x14ac:dyDescent="0.25">
      <c r="I38" s="432" t="s">
        <v>562</v>
      </c>
    </row>
    <row r="39" spans="9:9" ht="15.75" x14ac:dyDescent="0.25">
      <c r="I39" s="433"/>
    </row>
  </sheetData>
  <mergeCells count="1">
    <mergeCell ref="A2:K2"/>
  </mergeCells>
  <hyperlinks>
    <hyperlink ref="A1" location="INDICE!A1" display="INDICE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</sheetPr>
  <dimension ref="A1:I3"/>
  <sheetViews>
    <sheetView showGridLines="0" workbookViewId="0">
      <selection activeCell="C3" sqref="C3:I3"/>
    </sheetView>
  </sheetViews>
  <sheetFormatPr baseColWidth="10" defaultRowHeight="16.5" x14ac:dyDescent="0.3"/>
  <sheetData>
    <row r="1" spans="1:9" x14ac:dyDescent="0.3">
      <c r="A1" s="512" t="s">
        <v>464</v>
      </c>
    </row>
    <row r="3" spans="1:9" ht="18.75" x14ac:dyDescent="0.3">
      <c r="C3" s="558" t="s">
        <v>665</v>
      </c>
      <c r="D3" s="558"/>
      <c r="E3" s="558"/>
      <c r="F3" s="558"/>
      <c r="G3" s="558"/>
      <c r="H3" s="558"/>
      <c r="I3" s="558"/>
    </row>
  </sheetData>
  <mergeCells count="1">
    <mergeCell ref="C3:I3"/>
  </mergeCells>
  <hyperlinks>
    <hyperlink ref="A1" location="INDICE!A1" display="INDICE"/>
  </hyperlink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</sheetPr>
  <dimension ref="A1:K48"/>
  <sheetViews>
    <sheetView workbookViewId="0">
      <selection activeCell="F7" sqref="F7"/>
    </sheetView>
  </sheetViews>
  <sheetFormatPr baseColWidth="10" defaultRowHeight="13.5" x14ac:dyDescent="0.25"/>
  <cols>
    <col min="1" max="1" width="6.375" style="274" bestFit="1" customWidth="1"/>
    <col min="2" max="2" width="38.125" style="274" bestFit="1" customWidth="1"/>
    <col min="3" max="3" width="12.125" style="275" bestFit="1" customWidth="1"/>
    <col min="4" max="4" width="12.5" style="275" bestFit="1" customWidth="1"/>
    <col min="5" max="5" width="12.125" style="275" bestFit="1" customWidth="1"/>
    <col min="6" max="8" width="12.25" style="275" bestFit="1" customWidth="1"/>
    <col min="9" max="9" width="12.75" style="275" bestFit="1" customWidth="1"/>
    <col min="10" max="10" width="12.5" style="275" bestFit="1" customWidth="1"/>
    <col min="11" max="11" width="11" style="273"/>
    <col min="12" max="16384" width="11" style="274"/>
  </cols>
  <sheetData>
    <row r="1" spans="1:10" ht="16.5" x14ac:dyDescent="0.3">
      <c r="A1" s="514" t="s">
        <v>464</v>
      </c>
    </row>
    <row r="2" spans="1:10" ht="21" x14ac:dyDescent="0.35">
      <c r="A2" s="612" t="s">
        <v>343</v>
      </c>
      <c r="B2" s="612"/>
      <c r="C2" s="612"/>
      <c r="D2" s="612"/>
      <c r="E2" s="612"/>
      <c r="F2" s="612"/>
      <c r="G2" s="612"/>
      <c r="H2" s="612"/>
      <c r="I2" s="612"/>
      <c r="J2" s="612"/>
    </row>
    <row r="3" spans="1:10" ht="14.25" thickBot="1" x14ac:dyDescent="0.3"/>
    <row r="4" spans="1:10" ht="15.75" customHeight="1" x14ac:dyDescent="0.25">
      <c r="A4" s="633" t="s">
        <v>667</v>
      </c>
      <c r="B4" s="634"/>
      <c r="C4" s="634"/>
      <c r="D4" s="634"/>
      <c r="E4" s="634"/>
      <c r="F4" s="634"/>
      <c r="G4" s="634"/>
      <c r="H4" s="634"/>
      <c r="I4" s="634"/>
      <c r="J4" s="635"/>
    </row>
    <row r="5" spans="1:10" ht="14.25" x14ac:dyDescent="0.3">
      <c r="A5" s="339" t="s">
        <v>344</v>
      </c>
      <c r="B5" s="340" t="s">
        <v>345</v>
      </c>
      <c r="C5" s="341" t="s">
        <v>280</v>
      </c>
      <c r="D5" s="341" t="s">
        <v>281</v>
      </c>
      <c r="E5" s="341" t="s">
        <v>282</v>
      </c>
      <c r="F5" s="341" t="s">
        <v>283</v>
      </c>
      <c r="G5" s="341" t="s">
        <v>284</v>
      </c>
      <c r="H5" s="341" t="s">
        <v>285</v>
      </c>
      <c r="I5" s="341" t="s">
        <v>286</v>
      </c>
      <c r="J5" s="342" t="s">
        <v>287</v>
      </c>
    </row>
    <row r="6" spans="1:10" ht="14.25" x14ac:dyDescent="0.3">
      <c r="A6" s="276" t="s">
        <v>346</v>
      </c>
      <c r="B6" s="277" t="s">
        <v>347</v>
      </c>
      <c r="C6" s="278">
        <f>+'BALANCE GENERAL'!D9</f>
        <v>124858.17731342171</v>
      </c>
      <c r="D6" s="278">
        <f>+'BALANCE GENERAL'!E9</f>
        <v>126305.17731342171</v>
      </c>
      <c r="E6" s="278">
        <f>+'BALANCE GENERAL'!F9</f>
        <v>126592.17731342171</v>
      </c>
      <c r="F6" s="278">
        <f>+'BALANCE GENERAL'!G9</f>
        <v>126597.57771050226</v>
      </c>
      <c r="G6" s="278">
        <f>+'BALANCE GENERAL'!H9</f>
        <v>128160.15000000001</v>
      </c>
      <c r="H6" s="278">
        <f>+'BALANCE GENERAL'!I9</f>
        <v>129769.15000000001</v>
      </c>
      <c r="I6" s="278">
        <f>+'BALANCE GENERAL'!J9</f>
        <v>129349.15000000001</v>
      </c>
      <c r="J6" s="278">
        <f>+'BALANCE GENERAL'!K9</f>
        <v>129369.15000000001</v>
      </c>
    </row>
    <row r="7" spans="1:10" ht="14.25" x14ac:dyDescent="0.3">
      <c r="A7" s="276" t="s">
        <v>348</v>
      </c>
      <c r="B7" s="277" t="s">
        <v>349</v>
      </c>
      <c r="C7" s="278">
        <f>+'BALANCE GENERAL'!D21</f>
        <v>10361.557514620868</v>
      </c>
      <c r="D7" s="278">
        <f>+'BALANCE GENERAL'!E21</f>
        <v>8140.6587984228963</v>
      </c>
      <c r="E7" s="278">
        <f>+'BALANCE GENERAL'!F21</f>
        <v>5826.4281325846914</v>
      </c>
      <c r="F7" s="278">
        <f>+'BALANCE GENERAL'!G21</f>
        <v>2541.54</v>
      </c>
      <c r="G7" s="278">
        <f>+'BALANCE GENERAL'!H21</f>
        <v>2520.96</v>
      </c>
      <c r="H7" s="278">
        <f>+'BALANCE GENERAL'!I21</f>
        <v>2539.0950000000003</v>
      </c>
      <c r="I7" s="278">
        <f>+'BALANCE GENERAL'!J21</f>
        <v>2538.7950000000001</v>
      </c>
      <c r="J7" s="278">
        <f>+'BALANCE GENERAL'!K21</f>
        <v>2539.0950000000003</v>
      </c>
    </row>
    <row r="8" spans="1:10" ht="14.25" x14ac:dyDescent="0.3">
      <c r="A8" s="276" t="s">
        <v>294</v>
      </c>
      <c r="B8" s="277" t="s">
        <v>350</v>
      </c>
      <c r="C8" s="278">
        <f>+'BALANCE GENERAL'!D8</f>
        <v>109246.32</v>
      </c>
      <c r="D8" s="278">
        <f>+'BALANCE GENERAL'!E8</f>
        <v>109246.32</v>
      </c>
      <c r="E8" s="278">
        <f>+'BALANCE GENERAL'!F8</f>
        <v>109246.32</v>
      </c>
      <c r="F8" s="278">
        <f>+'BALANCE GENERAL'!G8</f>
        <v>109246.32</v>
      </c>
      <c r="G8" s="278">
        <f>+'BALANCE GENERAL'!H8</f>
        <v>109246.32</v>
      </c>
      <c r="H8" s="278">
        <f>+'BALANCE GENERAL'!I8</f>
        <v>109246.32</v>
      </c>
      <c r="I8" s="278">
        <f>+'BALANCE GENERAL'!J8</f>
        <v>109246.32</v>
      </c>
      <c r="J8" s="278">
        <f>+'BALANCE GENERAL'!K8</f>
        <v>109246.32</v>
      </c>
    </row>
    <row r="9" spans="1:10" ht="14.25" x14ac:dyDescent="0.3">
      <c r="A9" s="276" t="s">
        <v>291</v>
      </c>
      <c r="B9" s="277" t="s">
        <v>351</v>
      </c>
      <c r="C9" s="278">
        <f>+'BALANCE GENERAL'!D7</f>
        <v>15611.8573134217</v>
      </c>
      <c r="D9" s="278">
        <f>+'BALANCE GENERAL'!E7</f>
        <v>17058.8573134217</v>
      </c>
      <c r="E9" s="278">
        <f>+'BALANCE GENERAL'!F7</f>
        <v>17345.8573134217</v>
      </c>
      <c r="F9" s="278">
        <f>+'BALANCE GENERAL'!G7</f>
        <v>17351.257710502243</v>
      </c>
      <c r="G9" s="278">
        <f>+'BALANCE GENERAL'!H7</f>
        <v>18913.830000000002</v>
      </c>
      <c r="H9" s="278">
        <f>+'BALANCE GENERAL'!I7</f>
        <v>20522.830000000002</v>
      </c>
      <c r="I9" s="278">
        <f>+'BALANCE GENERAL'!J7</f>
        <v>20102.830000000002</v>
      </c>
      <c r="J9" s="278">
        <f>+'BALANCE GENERAL'!K7</f>
        <v>20122.830000000002</v>
      </c>
    </row>
    <row r="10" spans="1:10" ht="14.25" x14ac:dyDescent="0.3">
      <c r="A10" s="276" t="s">
        <v>352</v>
      </c>
      <c r="B10" s="277" t="s">
        <v>353</v>
      </c>
      <c r="C10" s="278">
        <f>+'BALANCE GENERAL'!D27</f>
        <v>59563.400000000009</v>
      </c>
      <c r="D10" s="278">
        <f>+'BALANCE GENERAL'!E27</f>
        <v>76613.35500000001</v>
      </c>
      <c r="E10" s="278">
        <f>+'BALANCE GENERAL'!F27</f>
        <v>93940.005000000005</v>
      </c>
      <c r="F10" s="278">
        <f>+'BALANCE GENERAL'!G27</f>
        <v>112084.29500000001</v>
      </c>
      <c r="G10" s="278">
        <f>+'BALANCE GENERAL'!H27</f>
        <v>128477.16500000001</v>
      </c>
      <c r="H10" s="278">
        <f>+'BALANCE GENERAL'!I27</f>
        <v>146460.90000000002</v>
      </c>
      <c r="I10" s="278">
        <f>+'BALANCE GENERAL'!J27</f>
        <v>164024.93500000003</v>
      </c>
      <c r="J10" s="278">
        <f>+'BALANCE GENERAL'!K27</f>
        <v>181608.67000000004</v>
      </c>
    </row>
    <row r="11" spans="1:10" ht="14.25" x14ac:dyDescent="0.3">
      <c r="A11" s="276" t="s">
        <v>354</v>
      </c>
      <c r="B11" s="277" t="s">
        <v>355</v>
      </c>
      <c r="C11" s="278">
        <v>0</v>
      </c>
      <c r="D11" s="278">
        <v>0</v>
      </c>
      <c r="E11" s="278">
        <v>0</v>
      </c>
      <c r="F11" s="278">
        <v>0</v>
      </c>
      <c r="G11" s="278">
        <v>0</v>
      </c>
      <c r="H11" s="278">
        <v>0</v>
      </c>
      <c r="I11" s="278">
        <v>0</v>
      </c>
      <c r="J11" s="279">
        <v>0</v>
      </c>
    </row>
    <row r="12" spans="1:10" ht="14.25" x14ac:dyDescent="0.3">
      <c r="A12" s="276" t="s">
        <v>356</v>
      </c>
      <c r="B12" s="277" t="s">
        <v>357</v>
      </c>
      <c r="C12" s="278">
        <f>+'BALANCE GENERAL'!D25</f>
        <v>15617.160000000003</v>
      </c>
      <c r="D12" s="278">
        <f>+'BALANCE GENERAL'!E25</f>
        <v>17049.955000000002</v>
      </c>
      <c r="E12" s="278">
        <f>+'BALANCE GENERAL'!F25</f>
        <v>17326.650000000001</v>
      </c>
      <c r="F12" s="278">
        <f>+'BALANCE GENERAL'!G25</f>
        <v>18144.29</v>
      </c>
      <c r="G12" s="278">
        <f>+'BALANCE GENERAL'!H25</f>
        <v>16392.870000000003</v>
      </c>
      <c r="H12" s="278">
        <f>+'BALANCE GENERAL'!I25</f>
        <v>17983.735000000001</v>
      </c>
      <c r="I12" s="278">
        <f>+'BALANCE GENERAL'!J25</f>
        <v>17564.035</v>
      </c>
      <c r="J12" s="278">
        <f>+'BALANCE GENERAL'!K25</f>
        <v>17583.735000000001</v>
      </c>
    </row>
    <row r="13" spans="1:10" ht="14.25" x14ac:dyDescent="0.3">
      <c r="A13" s="276" t="s">
        <v>358</v>
      </c>
      <c r="B13" s="277" t="s">
        <v>359</v>
      </c>
      <c r="C13" s="278">
        <f>+'BALANCE GENERAL'!D15</f>
        <v>141721.02731342171</v>
      </c>
      <c r="D13" s="278">
        <f>+'BALANCE GENERAL'!E15</f>
        <v>143168.02731342171</v>
      </c>
      <c r="E13" s="278">
        <f>+'BALANCE GENERAL'!F15</f>
        <v>143455.02731342171</v>
      </c>
      <c r="F13" s="278">
        <f>+'BALANCE GENERAL'!G15</f>
        <v>143460.42771050226</v>
      </c>
      <c r="G13" s="278">
        <f>+'BALANCE GENERAL'!H15</f>
        <v>145023</v>
      </c>
      <c r="H13" s="278">
        <f>+'BALANCE GENERAL'!I15</f>
        <v>146632</v>
      </c>
      <c r="I13" s="278">
        <f>+'BALANCE GENERAL'!J15</f>
        <v>146212</v>
      </c>
      <c r="J13" s="278">
        <f>+'BALANCE GENERAL'!K15</f>
        <v>146232</v>
      </c>
    </row>
    <row r="14" spans="1:10" ht="14.25" x14ac:dyDescent="0.3">
      <c r="A14" s="276" t="s">
        <v>300</v>
      </c>
      <c r="B14" s="277" t="s">
        <v>301</v>
      </c>
      <c r="C14" s="278">
        <f>+'BALANCE GENERAL'!D11</f>
        <v>15537.8</v>
      </c>
      <c r="D14" s="278">
        <f>+'BALANCE GENERAL'!E11</f>
        <v>15537.8</v>
      </c>
      <c r="E14" s="278">
        <f>+'BALANCE GENERAL'!F11</f>
        <v>15537.8</v>
      </c>
      <c r="F14" s="278">
        <f>+'BALANCE GENERAL'!G11</f>
        <v>15537.8</v>
      </c>
      <c r="G14" s="278">
        <f>+'BALANCE GENERAL'!H11</f>
        <v>15537.8</v>
      </c>
      <c r="H14" s="278">
        <f>+'BALANCE GENERAL'!I11</f>
        <v>15537.8</v>
      </c>
      <c r="I14" s="278">
        <f>+'BALANCE GENERAL'!J11</f>
        <v>15537.8</v>
      </c>
      <c r="J14" s="278">
        <f>+'BALANCE GENERAL'!K11</f>
        <v>15537.8</v>
      </c>
    </row>
    <row r="15" spans="1:10" ht="14.25" x14ac:dyDescent="0.3">
      <c r="A15" s="276" t="s">
        <v>360</v>
      </c>
      <c r="B15" s="277" t="s">
        <v>361</v>
      </c>
      <c r="C15" s="278">
        <f>+'BALANCE GENERAL'!D22</f>
        <v>10361.557514620868</v>
      </c>
      <c r="D15" s="278">
        <f>+'BALANCE GENERAL'!E22</f>
        <v>8140.6587984228963</v>
      </c>
      <c r="E15" s="278">
        <f>+'BALANCE GENERAL'!F22</f>
        <v>5826.4281325846914</v>
      </c>
      <c r="F15" s="278">
        <f>+'BALANCE GENERAL'!G22</f>
        <v>2541.54</v>
      </c>
      <c r="G15" s="278">
        <f>+'BALANCE GENERAL'!H22</f>
        <v>2520.96</v>
      </c>
      <c r="H15" s="278">
        <f>+'BALANCE GENERAL'!I22</f>
        <v>2539.0950000000003</v>
      </c>
      <c r="I15" s="278">
        <f>+'BALANCE GENERAL'!J22</f>
        <v>2538.7950000000001</v>
      </c>
      <c r="J15" s="278">
        <f>+'BALANCE GENERAL'!K22</f>
        <v>2539.0950000000003</v>
      </c>
    </row>
    <row r="16" spans="1:10" ht="14.25" x14ac:dyDescent="0.3">
      <c r="A16" s="276" t="s">
        <v>362</v>
      </c>
      <c r="B16" s="277" t="s">
        <v>363</v>
      </c>
      <c r="C16" s="278">
        <f>SUM('ESTADO DE GANANCIAS Y PERDIDAS'!B13:D13)</f>
        <v>18127.830000000002</v>
      </c>
      <c r="D16" s="278">
        <f>SUM('ESTADO DE GANANCIAS Y PERDIDAS'!E13:G13)</f>
        <v>19574.830000000002</v>
      </c>
      <c r="E16" s="278">
        <f>SUM('ESTADO DE GANANCIAS Y PERDIDAS'!H13:J13)</f>
        <v>19861.830000000002</v>
      </c>
      <c r="F16" s="278">
        <f>SUM('ESTADO DE GANANCIAS Y PERDIDAS'!K13:M13)</f>
        <v>20685.830000000002</v>
      </c>
      <c r="G16" s="278">
        <f>SUM('ESTADO DE GANANCIAS Y PERDIDAS'!N13:P13)</f>
        <v>18913.830000000002</v>
      </c>
      <c r="H16" s="278">
        <f>SUM('ESTADO DE GANANCIAS Y PERDIDAS'!Q13:S13)</f>
        <v>20522.830000000002</v>
      </c>
      <c r="I16" s="278">
        <f>SUM('ESTADO DE GANANCIAS Y PERDIDAS'!T13:V13)</f>
        <v>20102.830000000002</v>
      </c>
      <c r="J16" s="279">
        <f>SUM('ESTADO DE GANANCIAS Y PERDIDAS'!W13:Y13)</f>
        <v>20122.830000000002</v>
      </c>
    </row>
    <row r="17" spans="1:10" ht="14.25" x14ac:dyDescent="0.3">
      <c r="A17" s="276" t="s">
        <v>364</v>
      </c>
      <c r="B17" s="277" t="s">
        <v>365</v>
      </c>
      <c r="C17" s="278">
        <f>SUM('ESTADO DE GANANCIAS Y PERDIDAS'!B5:D5)</f>
        <v>167378</v>
      </c>
      <c r="D17" s="278">
        <f>SUM('ESTADO DE GANANCIAS Y PERDIDAS'!E5:G5)</f>
        <v>168325</v>
      </c>
      <c r="E17" s="278">
        <f>SUM('ESTADO DE GANANCIAS Y PERDIDAS'!H5:J5)</f>
        <v>169012</v>
      </c>
      <c r="F17" s="278">
        <f>SUM('ESTADO DE GANANCIAS Y PERDIDAS'!K5:M5)</f>
        <v>169436</v>
      </c>
      <c r="G17" s="278">
        <f>SUM('ESTADO DE GANANCIAS Y PERDIDAS'!N5:P5)</f>
        <v>168064</v>
      </c>
      <c r="H17" s="278">
        <f>SUM('ESTADO DE GANANCIAS Y PERDIDAS'!Q5:S5)</f>
        <v>169273</v>
      </c>
      <c r="I17" s="278">
        <f>SUM('ESTADO DE GANANCIAS Y PERDIDAS'!T5:V5)</f>
        <v>169253</v>
      </c>
      <c r="J17" s="279">
        <f>SUM('ESTADO DE GANANCIAS Y PERDIDAS'!W5:Y5)</f>
        <v>169273</v>
      </c>
    </row>
    <row r="18" spans="1:10" ht="14.25" x14ac:dyDescent="0.3">
      <c r="A18" s="276" t="s">
        <v>366</v>
      </c>
      <c r="B18" s="277" t="s">
        <v>367</v>
      </c>
      <c r="C18" s="278">
        <v>0</v>
      </c>
      <c r="D18" s="278">
        <v>0</v>
      </c>
      <c r="E18" s="278">
        <v>0</v>
      </c>
      <c r="F18" s="278">
        <v>0</v>
      </c>
      <c r="G18" s="278">
        <v>0</v>
      </c>
      <c r="H18" s="278">
        <v>0</v>
      </c>
      <c r="I18" s="278">
        <v>0</v>
      </c>
      <c r="J18" s="279">
        <v>0</v>
      </c>
    </row>
    <row r="19" spans="1:10" ht="14.25" x14ac:dyDescent="0.3">
      <c r="A19" s="276" t="s">
        <v>368</v>
      </c>
      <c r="B19" s="277" t="s">
        <v>369</v>
      </c>
      <c r="C19" s="278">
        <f>SUM('ESTADO DE GANANCIAS Y PERDIDAS'!B6:D6)</f>
        <v>149250.16999999998</v>
      </c>
      <c r="D19" s="278">
        <f>SUM('ESTADO DE GANANCIAS Y PERDIDAS'!E6:G6)</f>
        <v>148750.16999999998</v>
      </c>
      <c r="E19" s="278">
        <f>SUM('ESTADO DE GANANCIAS Y PERDIDAS'!H6:J6)</f>
        <v>149150.16999999998</v>
      </c>
      <c r="F19" s="278">
        <f>SUM('ESTADO DE GANANCIAS Y PERDIDAS'!K6:M6)</f>
        <v>148750.16999999998</v>
      </c>
      <c r="G19" s="278">
        <f>SUM('ESTADO DE GANANCIAS Y PERDIDAS'!N6:P6)</f>
        <v>149150.16999999998</v>
      </c>
      <c r="H19" s="278">
        <f>SUM('ESTADO DE GANANCIAS Y PERDIDAS'!Q6:S6)</f>
        <v>148750.16999999998</v>
      </c>
      <c r="I19" s="278">
        <f>SUM('ESTADO DE GANANCIAS Y PERDIDAS'!T6:V6)</f>
        <v>149150.16999999998</v>
      </c>
      <c r="J19" s="279">
        <f>SUM('ESTADO DE GANANCIAS Y PERDIDAS'!W6:Y6)</f>
        <v>149150.16999999998</v>
      </c>
    </row>
    <row r="20" spans="1:10" ht="14.25" x14ac:dyDescent="0.3">
      <c r="A20" s="276" t="s">
        <v>370</v>
      </c>
      <c r="B20" s="277" t="s">
        <v>371</v>
      </c>
      <c r="C20" s="278">
        <f>+'BALANCE GENERAL'!D11</f>
        <v>15537.8</v>
      </c>
      <c r="D20" s="278">
        <f>+'BALANCE GENERAL'!E11</f>
        <v>15537.8</v>
      </c>
      <c r="E20" s="278">
        <f>+'BALANCE GENERAL'!F11</f>
        <v>15537.8</v>
      </c>
      <c r="F20" s="278">
        <f>+'BALANCE GENERAL'!G11</f>
        <v>15537.8</v>
      </c>
      <c r="G20" s="278">
        <f>+'BALANCE GENERAL'!H11</f>
        <v>15537.8</v>
      </c>
      <c r="H20" s="278">
        <f>+'BALANCE GENERAL'!I11</f>
        <v>15537.8</v>
      </c>
      <c r="I20" s="278">
        <f>+'BALANCE GENERAL'!J11</f>
        <v>15537.8</v>
      </c>
      <c r="J20" s="278">
        <f>+'BALANCE GENERAL'!K11</f>
        <v>15537.8</v>
      </c>
    </row>
    <row r="21" spans="1:10" ht="14.25" x14ac:dyDescent="0.3">
      <c r="A21" s="276" t="s">
        <v>372</v>
      </c>
      <c r="B21" s="277" t="s">
        <v>373</v>
      </c>
      <c r="C21" s="278">
        <f>C12</f>
        <v>15617.160000000003</v>
      </c>
      <c r="D21" s="278">
        <f t="shared" ref="D21:J21" si="0">D12</f>
        <v>17049.955000000002</v>
      </c>
      <c r="E21" s="278">
        <f t="shared" si="0"/>
        <v>17326.650000000001</v>
      </c>
      <c r="F21" s="278">
        <f t="shared" si="0"/>
        <v>18144.29</v>
      </c>
      <c r="G21" s="278">
        <f t="shared" si="0"/>
        <v>16392.870000000003</v>
      </c>
      <c r="H21" s="278">
        <f t="shared" si="0"/>
        <v>17983.735000000001</v>
      </c>
      <c r="I21" s="278">
        <f t="shared" si="0"/>
        <v>17564.035</v>
      </c>
      <c r="J21" s="278">
        <f t="shared" si="0"/>
        <v>17583.735000000001</v>
      </c>
    </row>
    <row r="22" spans="1:10" ht="14.25" x14ac:dyDescent="0.3">
      <c r="A22" s="276" t="s">
        <v>374</v>
      </c>
      <c r="B22" s="277" t="s">
        <v>375</v>
      </c>
      <c r="C22" s="278">
        <f>SUM('FLUJO DE CAJA ECON FINAN'!C16:E16)</f>
        <v>366.86020119916986</v>
      </c>
      <c r="D22" s="278">
        <f>SUM('FLUJO DE CAJA ECON FINAN'!F16:H16)</f>
        <v>280.86897038033089</v>
      </c>
      <c r="E22" s="278">
        <f>SUM('FLUJO DE CAJA ECON FINAN'!I16:K16)</f>
        <v>191.43702074009684</v>
      </c>
      <c r="F22" s="278">
        <f>+'FLUJO DE CAJA ECON FINAN'!L16</f>
        <v>43.324156913068961</v>
      </c>
      <c r="G22" s="278">
        <v>0</v>
      </c>
      <c r="H22" s="278">
        <v>0</v>
      </c>
      <c r="I22" s="278">
        <v>0</v>
      </c>
      <c r="J22" s="279">
        <v>0</v>
      </c>
    </row>
    <row r="23" spans="1:10" ht="14.25" x14ac:dyDescent="0.3">
      <c r="A23" s="276" t="s">
        <v>376</v>
      </c>
      <c r="B23" s="277" t="s">
        <v>377</v>
      </c>
      <c r="C23" s="278">
        <f>SUM('ESTADO DE GANANCIAS Y PERDIDAS'!B10:D11)</f>
        <v>18812</v>
      </c>
      <c r="D23" s="278">
        <f>SUM('ESTADO DE GANANCIAS Y PERDIDAS'!E10:G11)</f>
        <v>18312</v>
      </c>
      <c r="E23" s="278">
        <f>SUM('ESTADO DE GANANCIAS Y PERDIDAS'!H10:J11)</f>
        <v>18712</v>
      </c>
      <c r="F23" s="278">
        <f>SUM('ESTADO DE GANANCIAS Y PERDIDAS'!K10:M11)</f>
        <v>18312</v>
      </c>
      <c r="G23" s="278">
        <f>SUM('ESTADO DE GANANCIAS Y PERDIDAS'!N10:P11)</f>
        <v>18712</v>
      </c>
      <c r="H23" s="278">
        <f>SUM('ESTADO DE GANANCIAS Y PERDIDAS'!Q10:S11)</f>
        <v>18312</v>
      </c>
      <c r="I23" s="278">
        <f>SUM('ESTADO DE GANANCIAS Y PERDIDAS'!T10:V11)</f>
        <v>18712</v>
      </c>
      <c r="J23" s="279">
        <f>SUM('ESTADO DE GANANCIAS Y PERDIDAS'!W10:Y11)</f>
        <v>18712</v>
      </c>
    </row>
    <row r="24" spans="1:10" ht="15" thickBot="1" x14ac:dyDescent="0.35">
      <c r="A24" s="280" t="s">
        <v>378</v>
      </c>
      <c r="B24" s="281" t="s">
        <v>379</v>
      </c>
      <c r="C24" s="282">
        <f>'[1]BALANCE GENERAL'!D24</f>
        <v>4339</v>
      </c>
      <c r="D24" s="282">
        <f>'[1]BALANCE GENERAL'!E24</f>
        <v>4339</v>
      </c>
      <c r="E24" s="282">
        <f>'[1]BALANCE GENERAL'!F24</f>
        <v>4339</v>
      </c>
      <c r="F24" s="282">
        <f>'[1]BALANCE GENERAL'!G24</f>
        <v>4339</v>
      </c>
      <c r="G24" s="282">
        <f>'[1]BALANCE GENERAL'!H24</f>
        <v>4339</v>
      </c>
      <c r="H24" s="282">
        <f>'[1]BALANCE GENERAL'!I24</f>
        <v>4339</v>
      </c>
      <c r="I24" s="282">
        <f>'[1]BALANCE GENERAL'!J24</f>
        <v>4339</v>
      </c>
      <c r="J24" s="283">
        <f>'[1]BALANCE GENERAL'!K24</f>
        <v>4339</v>
      </c>
    </row>
    <row r="26" spans="1:10" ht="14.25" thickBot="1" x14ac:dyDescent="0.3"/>
    <row r="27" spans="1:10" ht="15" thickBot="1" x14ac:dyDescent="0.3">
      <c r="A27" s="636"/>
      <c r="B27" s="343" t="s">
        <v>380</v>
      </c>
      <c r="C27" s="344" t="s">
        <v>280</v>
      </c>
      <c r="D27" s="345" t="s">
        <v>281</v>
      </c>
      <c r="E27" s="345" t="s">
        <v>282</v>
      </c>
      <c r="F27" s="345" t="s">
        <v>283</v>
      </c>
      <c r="G27" s="345" t="s">
        <v>284</v>
      </c>
      <c r="H27" s="345" t="s">
        <v>285</v>
      </c>
      <c r="I27" s="345" t="s">
        <v>286</v>
      </c>
      <c r="J27" s="346" t="s">
        <v>287</v>
      </c>
    </row>
    <row r="28" spans="1:10" ht="14.25" x14ac:dyDescent="0.3">
      <c r="A28" s="636"/>
      <c r="B28" s="284" t="s">
        <v>381</v>
      </c>
      <c r="C28" s="528">
        <f t="shared" ref="C28:J28" si="1">C6/C7</f>
        <v>12.050136008726319</v>
      </c>
      <c r="D28" s="529">
        <f t="shared" si="1"/>
        <v>15.515350838422441</v>
      </c>
      <c r="E28" s="529">
        <f t="shared" si="1"/>
        <v>21.727235697879191</v>
      </c>
      <c r="F28" s="529">
        <f t="shared" si="1"/>
        <v>49.811365436114428</v>
      </c>
      <c r="G28" s="529">
        <f t="shared" si="1"/>
        <v>50.837835586443262</v>
      </c>
      <c r="H28" s="529">
        <f t="shared" si="1"/>
        <v>51.108426427526339</v>
      </c>
      <c r="I28" s="529">
        <f t="shared" si="1"/>
        <v>50.949032907343842</v>
      </c>
      <c r="J28" s="530">
        <f t="shared" si="1"/>
        <v>50.950889982454378</v>
      </c>
    </row>
    <row r="29" spans="1:10" ht="14.25" x14ac:dyDescent="0.3">
      <c r="A29" s="636"/>
      <c r="B29" s="288" t="s">
        <v>382</v>
      </c>
      <c r="C29" s="531">
        <f>(C6-C8)/C7</f>
        <v>1.5067095165367077</v>
      </c>
      <c r="D29" s="532">
        <f t="shared" ref="D29:J29" si="2">(D6-D8)/D7</f>
        <v>2.0955131194942775</v>
      </c>
      <c r="E29" s="532">
        <f t="shared" si="2"/>
        <v>2.9770996773158198</v>
      </c>
      <c r="F29" s="532">
        <f t="shared" si="2"/>
        <v>6.8270645791536824</v>
      </c>
      <c r="G29" s="532">
        <f t="shared" si="2"/>
        <v>7.5026299504950504</v>
      </c>
      <c r="H29" s="532">
        <f t="shared" si="2"/>
        <v>8.082734202540669</v>
      </c>
      <c r="I29" s="532">
        <f t="shared" si="2"/>
        <v>7.9182564956997323</v>
      </c>
      <c r="J29" s="533">
        <f t="shared" si="2"/>
        <v>7.9251977574687045</v>
      </c>
    </row>
    <row r="30" spans="1:10" ht="14.25" x14ac:dyDescent="0.3">
      <c r="A30" s="636"/>
      <c r="B30" s="292" t="s">
        <v>383</v>
      </c>
      <c r="C30" s="531">
        <f>C9/C7</f>
        <v>1.5067095165367077</v>
      </c>
      <c r="D30" s="532">
        <f t="shared" ref="D30:J30" si="3">D9/D7</f>
        <v>2.0955131194942775</v>
      </c>
      <c r="E30" s="532">
        <f t="shared" si="3"/>
        <v>2.9770996773158198</v>
      </c>
      <c r="F30" s="532">
        <f t="shared" si="3"/>
        <v>6.8270645791536797</v>
      </c>
      <c r="G30" s="532">
        <f t="shared" si="3"/>
        <v>7.5026299504950504</v>
      </c>
      <c r="H30" s="532">
        <f t="shared" si="3"/>
        <v>8.082734202540669</v>
      </c>
      <c r="I30" s="532">
        <f t="shared" si="3"/>
        <v>7.9182564956997323</v>
      </c>
      <c r="J30" s="533">
        <f t="shared" si="3"/>
        <v>7.9251977574687045</v>
      </c>
    </row>
    <row r="31" spans="1:10" ht="15" thickBot="1" x14ac:dyDescent="0.35">
      <c r="A31" s="636"/>
      <c r="B31" s="293" t="s">
        <v>384</v>
      </c>
      <c r="C31" s="534">
        <f>C6-C7</f>
        <v>114496.61979880084</v>
      </c>
      <c r="D31" s="535">
        <f t="shared" ref="D31:J31" si="4">D6-D7</f>
        <v>118164.51851499881</v>
      </c>
      <c r="E31" s="535">
        <f t="shared" si="4"/>
        <v>120765.74918083701</v>
      </c>
      <c r="F31" s="535">
        <f t="shared" si="4"/>
        <v>124056.03771050226</v>
      </c>
      <c r="G31" s="535">
        <f t="shared" si="4"/>
        <v>125639.19</v>
      </c>
      <c r="H31" s="535">
        <f t="shared" si="4"/>
        <v>127230.05500000001</v>
      </c>
      <c r="I31" s="535">
        <f t="shared" si="4"/>
        <v>126810.35500000001</v>
      </c>
      <c r="J31" s="536">
        <f t="shared" si="4"/>
        <v>126830.05500000001</v>
      </c>
    </row>
    <row r="32" spans="1:10" ht="14.25" thickBot="1" x14ac:dyDescent="0.3"/>
    <row r="33" spans="1:10" ht="15" thickBot="1" x14ac:dyDescent="0.3">
      <c r="A33" s="636"/>
      <c r="B33" s="347" t="s">
        <v>385</v>
      </c>
      <c r="C33" s="344" t="s">
        <v>280</v>
      </c>
      <c r="D33" s="345" t="s">
        <v>281</v>
      </c>
      <c r="E33" s="345" t="s">
        <v>282</v>
      </c>
      <c r="F33" s="345" t="s">
        <v>283</v>
      </c>
      <c r="G33" s="345" t="s">
        <v>284</v>
      </c>
      <c r="H33" s="345" t="s">
        <v>285</v>
      </c>
      <c r="I33" s="345" t="s">
        <v>286</v>
      </c>
      <c r="J33" s="346" t="s">
        <v>287</v>
      </c>
    </row>
    <row r="34" spans="1:10" ht="14.25" x14ac:dyDescent="0.3">
      <c r="A34" s="636"/>
      <c r="B34" s="284" t="s">
        <v>386</v>
      </c>
      <c r="C34" s="285">
        <f>C17/C14</f>
        <v>10.772310108252134</v>
      </c>
      <c r="D34" s="286">
        <f t="shared" ref="D34:J34" si="5">D17/D14</f>
        <v>10.833258247628365</v>
      </c>
      <c r="E34" s="286">
        <f t="shared" si="5"/>
        <v>10.8774730013258</v>
      </c>
      <c r="F34" s="286">
        <f t="shared" si="5"/>
        <v>10.904761291817374</v>
      </c>
      <c r="G34" s="286">
        <f t="shared" si="5"/>
        <v>10.81646050277388</v>
      </c>
      <c r="H34" s="286">
        <f t="shared" si="5"/>
        <v>10.894270746180283</v>
      </c>
      <c r="I34" s="286">
        <f>I17/I14</f>
        <v>10.892983562666529</v>
      </c>
      <c r="J34" s="287">
        <f t="shared" si="5"/>
        <v>10.894270746180283</v>
      </c>
    </row>
    <row r="35" spans="1:10" ht="14.25" x14ac:dyDescent="0.3">
      <c r="A35" s="636"/>
      <c r="B35" s="292" t="s">
        <v>387</v>
      </c>
      <c r="C35" s="289">
        <f t="shared" ref="C35:I35" si="6">C19/C8</f>
        <v>1.3661802978809718</v>
      </c>
      <c r="D35" s="290">
        <f t="shared" si="6"/>
        <v>1.3616034846757308</v>
      </c>
      <c r="E35" s="290">
        <f t="shared" si="6"/>
        <v>1.3652649352399235</v>
      </c>
      <c r="F35" s="290">
        <f t="shared" si="6"/>
        <v>1.3616034846757308</v>
      </c>
      <c r="G35" s="290">
        <f t="shared" si="6"/>
        <v>1.3652649352399235</v>
      </c>
      <c r="H35" s="290">
        <f t="shared" si="6"/>
        <v>1.3616034846757308</v>
      </c>
      <c r="I35" s="290">
        <f t="shared" si="6"/>
        <v>1.3652649352399235</v>
      </c>
      <c r="J35" s="291">
        <f>J19/J8</f>
        <v>1.3652649352399235</v>
      </c>
    </row>
    <row r="36" spans="1:10" ht="14.25" x14ac:dyDescent="0.3">
      <c r="A36" s="636"/>
      <c r="B36" s="292" t="s">
        <v>388</v>
      </c>
      <c r="C36" s="289">
        <f t="shared" ref="C36:J36" si="7">C9/C17*360</f>
        <v>33.578299614237309</v>
      </c>
      <c r="D36" s="290">
        <f t="shared" si="7"/>
        <v>36.484114854191667</v>
      </c>
      <c r="E36" s="290">
        <f t="shared" si="7"/>
        <v>36.947131758879912</v>
      </c>
      <c r="F36" s="290">
        <f t="shared" si="7"/>
        <v>36.866148727429874</v>
      </c>
      <c r="G36" s="290">
        <f t="shared" si="7"/>
        <v>40.514201732673271</v>
      </c>
      <c r="H36" s="290">
        <f t="shared" si="7"/>
        <v>43.646764693719618</v>
      </c>
      <c r="I36" s="290">
        <f t="shared" si="7"/>
        <v>42.758585076778559</v>
      </c>
      <c r="J36" s="291">
        <f t="shared" si="7"/>
        <v>42.79606789033101</v>
      </c>
    </row>
    <row r="37" spans="1:10" ht="14.25" x14ac:dyDescent="0.3">
      <c r="A37" s="636"/>
      <c r="B37" s="292" t="s">
        <v>389</v>
      </c>
      <c r="C37" s="289">
        <f>C17/C13</f>
        <v>1.1810385739713618</v>
      </c>
      <c r="D37" s="290">
        <f t="shared" ref="D37:J37" si="8">D17/D13</f>
        <v>1.1757164162882887</v>
      </c>
      <c r="E37" s="290">
        <f t="shared" si="8"/>
        <v>1.1781532035872204</v>
      </c>
      <c r="F37" s="290">
        <f t="shared" si="8"/>
        <v>1.1810643722735545</v>
      </c>
      <c r="G37" s="290">
        <f t="shared" si="8"/>
        <v>1.1588782468987677</v>
      </c>
      <c r="H37" s="290">
        <f t="shared" si="8"/>
        <v>1.1544069507338097</v>
      </c>
      <c r="I37" s="290">
        <f t="shared" si="8"/>
        <v>1.1575862446310836</v>
      </c>
      <c r="J37" s="291">
        <f t="shared" si="8"/>
        <v>1.157564691722742</v>
      </c>
    </row>
    <row r="38" spans="1:10" ht="15" thickBot="1" x14ac:dyDescent="0.35">
      <c r="A38" s="636"/>
      <c r="B38" s="293" t="s">
        <v>390</v>
      </c>
      <c r="C38" s="294">
        <f>C17/C14</f>
        <v>10.772310108252134</v>
      </c>
      <c r="D38" s="295">
        <f t="shared" ref="D38:J38" si="9">D17/D14</f>
        <v>10.833258247628365</v>
      </c>
      <c r="E38" s="295">
        <f t="shared" si="9"/>
        <v>10.8774730013258</v>
      </c>
      <c r="F38" s="295">
        <f t="shared" si="9"/>
        <v>10.904761291817374</v>
      </c>
      <c r="G38" s="295">
        <f t="shared" si="9"/>
        <v>10.81646050277388</v>
      </c>
      <c r="H38" s="295">
        <f t="shared" si="9"/>
        <v>10.894270746180283</v>
      </c>
      <c r="I38" s="295">
        <f t="shared" si="9"/>
        <v>10.892983562666529</v>
      </c>
      <c r="J38" s="296">
        <f t="shared" si="9"/>
        <v>10.894270746180283</v>
      </c>
    </row>
    <row r="39" spans="1:10" ht="14.25" thickBot="1" x14ac:dyDescent="0.3">
      <c r="C39" s="297"/>
      <c r="D39" s="297"/>
      <c r="E39" s="297"/>
      <c r="F39" s="297"/>
      <c r="G39" s="297"/>
      <c r="H39" s="297"/>
      <c r="I39" s="297"/>
      <c r="J39" s="297"/>
    </row>
    <row r="40" spans="1:10" ht="15" thickBot="1" x14ac:dyDescent="0.35">
      <c r="A40" s="636"/>
      <c r="B40" s="348" t="s">
        <v>391</v>
      </c>
      <c r="C40" s="344" t="s">
        <v>280</v>
      </c>
      <c r="D40" s="345" t="s">
        <v>281</v>
      </c>
      <c r="E40" s="345" t="s">
        <v>282</v>
      </c>
      <c r="F40" s="345" t="s">
        <v>283</v>
      </c>
      <c r="G40" s="345" t="s">
        <v>284</v>
      </c>
      <c r="H40" s="345" t="s">
        <v>285</v>
      </c>
      <c r="I40" s="345" t="s">
        <v>286</v>
      </c>
      <c r="J40" s="346" t="s">
        <v>287</v>
      </c>
    </row>
    <row r="41" spans="1:10" ht="14.25" x14ac:dyDescent="0.3">
      <c r="A41" s="636"/>
      <c r="B41" s="284" t="s">
        <v>392</v>
      </c>
      <c r="C41" s="519">
        <f>C15/C10</f>
        <v>0.17395846299272485</v>
      </c>
      <c r="D41" s="520">
        <f t="shared" ref="D41:J41" si="10">D15/D10</f>
        <v>0.10625639352855511</v>
      </c>
      <c r="E41" s="520">
        <f t="shared" si="10"/>
        <v>6.2022863769111904E-2</v>
      </c>
      <c r="F41" s="520">
        <f t="shared" si="10"/>
        <v>2.2675255262122135E-2</v>
      </c>
      <c r="G41" s="520">
        <f t="shared" si="10"/>
        <v>1.9621852645954632E-2</v>
      </c>
      <c r="H41" s="520">
        <f t="shared" si="10"/>
        <v>1.7336333451453596E-2</v>
      </c>
      <c r="I41" s="520">
        <f t="shared" si="10"/>
        <v>1.5478103984616727E-2</v>
      </c>
      <c r="J41" s="521">
        <f t="shared" si="10"/>
        <v>1.3981133169468174E-2</v>
      </c>
    </row>
    <row r="42" spans="1:10" ht="15" thickBot="1" x14ac:dyDescent="0.35">
      <c r="A42" s="636"/>
      <c r="B42" s="298" t="s">
        <v>393</v>
      </c>
      <c r="C42" s="525">
        <f>C15/C13</f>
        <v>7.3112351152421928E-2</v>
      </c>
      <c r="D42" s="526">
        <f t="shared" ref="D42:J42" si="11">D15/D13</f>
        <v>5.6860871461205963E-2</v>
      </c>
      <c r="E42" s="526">
        <f t="shared" si="11"/>
        <v>4.0615015323618206E-2</v>
      </c>
      <c r="F42" s="526">
        <f t="shared" si="11"/>
        <v>1.7715965584103318E-2</v>
      </c>
      <c r="G42" s="526">
        <f t="shared" si="11"/>
        <v>1.7383173703481518E-2</v>
      </c>
      <c r="H42" s="526">
        <f t="shared" si="11"/>
        <v>1.7316104261007149E-2</v>
      </c>
      <c r="I42" s="526">
        <f t="shared" si="11"/>
        <v>1.7363793669466256E-2</v>
      </c>
      <c r="J42" s="527">
        <f t="shared" si="11"/>
        <v>1.7363470375841131E-2</v>
      </c>
    </row>
    <row r="43" spans="1:10" ht="14.25" thickBot="1" x14ac:dyDescent="0.3">
      <c r="C43" s="299"/>
      <c r="D43" s="299"/>
      <c r="E43" s="299"/>
      <c r="F43" s="299"/>
      <c r="G43" s="299"/>
      <c r="H43" s="299"/>
      <c r="I43" s="299"/>
      <c r="J43" s="299"/>
    </row>
    <row r="44" spans="1:10" ht="15" thickBot="1" x14ac:dyDescent="0.3">
      <c r="A44" s="632"/>
      <c r="B44" s="347" t="s">
        <v>394</v>
      </c>
      <c r="C44" s="344" t="s">
        <v>280</v>
      </c>
      <c r="D44" s="345" t="s">
        <v>281</v>
      </c>
      <c r="E44" s="345" t="s">
        <v>282</v>
      </c>
      <c r="F44" s="345" t="s">
        <v>283</v>
      </c>
      <c r="G44" s="345" t="s">
        <v>284</v>
      </c>
      <c r="H44" s="345" t="s">
        <v>285</v>
      </c>
      <c r="I44" s="345" t="s">
        <v>286</v>
      </c>
      <c r="J44" s="346" t="s">
        <v>287</v>
      </c>
    </row>
    <row r="45" spans="1:10" ht="14.25" x14ac:dyDescent="0.3">
      <c r="A45" s="632"/>
      <c r="B45" s="284" t="s">
        <v>395</v>
      </c>
      <c r="C45" s="519">
        <f>C12/C13</f>
        <v>0.11019649162902291</v>
      </c>
      <c r="D45" s="520">
        <f t="shared" ref="D45:I45" si="12">D12/D13</f>
        <v>0.11909052125635877</v>
      </c>
      <c r="E45" s="520">
        <f t="shared" si="12"/>
        <v>0.12078105817891342</v>
      </c>
      <c r="F45" s="520">
        <f t="shared" si="12"/>
        <v>0.12647592293963109</v>
      </c>
      <c r="G45" s="520">
        <f t="shared" si="12"/>
        <v>0.11303634595891687</v>
      </c>
      <c r="H45" s="520">
        <f t="shared" si="12"/>
        <v>0.12264536390419555</v>
      </c>
      <c r="I45" s="520">
        <f t="shared" si="12"/>
        <v>0.12012717834377479</v>
      </c>
      <c r="J45" s="521">
        <f>J12/J13</f>
        <v>0.12024546610864928</v>
      </c>
    </row>
    <row r="46" spans="1:10" ht="14.25" x14ac:dyDescent="0.3">
      <c r="A46" s="632"/>
      <c r="B46" s="288" t="s">
        <v>396</v>
      </c>
      <c r="C46" s="522">
        <f>C12/C10</f>
        <v>0.26219389759483175</v>
      </c>
      <c r="D46" s="523">
        <f t="shared" ref="D46:J46" si="13">D12/D10</f>
        <v>0.22254546873714118</v>
      </c>
      <c r="E46" s="523">
        <f t="shared" si="13"/>
        <v>0.18444378409390122</v>
      </c>
      <c r="F46" s="523">
        <f t="shared" si="13"/>
        <v>0.16188075233912119</v>
      </c>
      <c r="G46" s="523">
        <f t="shared" si="13"/>
        <v>0.12759364669978515</v>
      </c>
      <c r="H46" s="523">
        <f t="shared" si="13"/>
        <v>0.12278864188326029</v>
      </c>
      <c r="I46" s="523">
        <f t="shared" si="13"/>
        <v>0.10708149343269056</v>
      </c>
      <c r="J46" s="524">
        <f t="shared" si="13"/>
        <v>9.6822112072072308E-2</v>
      </c>
    </row>
    <row r="47" spans="1:10" ht="14.25" x14ac:dyDescent="0.3">
      <c r="A47" s="632"/>
      <c r="B47" s="288" t="s">
        <v>397</v>
      </c>
      <c r="C47" s="522">
        <f>C12/C17</f>
        <v>9.330473538935824E-2</v>
      </c>
      <c r="D47" s="523">
        <f t="shared" ref="D47:J47" si="14">D12/D17</f>
        <v>0.1012918758354374</v>
      </c>
      <c r="E47" s="523">
        <f t="shared" si="14"/>
        <v>0.1025172768797482</v>
      </c>
      <c r="F47" s="523">
        <f t="shared" si="14"/>
        <v>0.10708639250218371</v>
      </c>
      <c r="G47" s="523">
        <f t="shared" si="14"/>
        <v>9.7539449257425762E-2</v>
      </c>
      <c r="H47" s="523">
        <f t="shared" si="14"/>
        <v>0.10624101303811004</v>
      </c>
      <c r="I47" s="523">
        <f t="shared" si="14"/>
        <v>0.10377384743549598</v>
      </c>
      <c r="J47" s="524">
        <f t="shared" si="14"/>
        <v>0.10387796636203057</v>
      </c>
    </row>
    <row r="48" spans="1:10" ht="15" thickBot="1" x14ac:dyDescent="0.35">
      <c r="A48" s="632"/>
      <c r="B48" s="293" t="s">
        <v>398</v>
      </c>
      <c r="C48" s="525">
        <f t="shared" ref="C48:J48" si="15">(C17-C19)/C17</f>
        <v>0.10830473538935832</v>
      </c>
      <c r="D48" s="526">
        <f t="shared" si="15"/>
        <v>0.1162918758354375</v>
      </c>
      <c r="E48" s="526">
        <f t="shared" si="15"/>
        <v>0.11751727687974828</v>
      </c>
      <c r="F48" s="526">
        <f t="shared" si="15"/>
        <v>0.12208639250218381</v>
      </c>
      <c r="G48" s="526">
        <f t="shared" si="15"/>
        <v>0.11253944925742584</v>
      </c>
      <c r="H48" s="526">
        <f t="shared" si="15"/>
        <v>0.12124101303811013</v>
      </c>
      <c r="I48" s="526">
        <f t="shared" si="15"/>
        <v>0.11877384743549607</v>
      </c>
      <c r="J48" s="527">
        <f t="shared" si="15"/>
        <v>0.11887796636203066</v>
      </c>
    </row>
  </sheetData>
  <mergeCells count="6">
    <mergeCell ref="A44:A48"/>
    <mergeCell ref="A2:J2"/>
    <mergeCell ref="A4:J4"/>
    <mergeCell ref="A27:A31"/>
    <mergeCell ref="A33:A38"/>
    <mergeCell ref="A40:A42"/>
  </mergeCells>
  <hyperlinks>
    <hyperlink ref="A1" location="INDICE!A1" display="INDICE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</sheetPr>
  <dimension ref="A1:M3"/>
  <sheetViews>
    <sheetView showGridLines="0" topLeftCell="A61" workbookViewId="0"/>
  </sheetViews>
  <sheetFormatPr baseColWidth="10" defaultRowHeight="16.5" x14ac:dyDescent="0.3"/>
  <cols>
    <col min="1" max="16384" width="11" style="16"/>
  </cols>
  <sheetData>
    <row r="1" spans="1:13" x14ac:dyDescent="0.3">
      <c r="A1" s="514" t="s">
        <v>464</v>
      </c>
    </row>
    <row r="2" spans="1:13" ht="27.75" x14ac:dyDescent="0.45">
      <c r="A2" s="637" t="s">
        <v>399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</row>
    <row r="3" spans="1:13" ht="27.75" x14ac:dyDescent="0.45">
      <c r="A3" s="353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</row>
  </sheetData>
  <mergeCells count="1">
    <mergeCell ref="A2:M2"/>
  </mergeCells>
  <hyperlinks>
    <hyperlink ref="A1" location="INDICE!A1" display="INDICE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</sheetPr>
  <dimension ref="A1:U65"/>
  <sheetViews>
    <sheetView showGridLines="0" zoomScale="51" zoomScaleNormal="51" workbookViewId="0"/>
  </sheetViews>
  <sheetFormatPr baseColWidth="10" defaultRowHeight="16.5" x14ac:dyDescent="0.3"/>
  <cols>
    <col min="1" max="1" width="11" style="41" customWidth="1"/>
    <col min="2" max="2" width="4.75" style="41" customWidth="1"/>
    <col min="3" max="3" width="62.625" style="41" customWidth="1"/>
    <col min="4" max="5" width="8.5" style="41" customWidth="1"/>
    <col min="6" max="6" width="14.375" style="41" customWidth="1"/>
    <col min="7" max="7" width="6.5" style="41" customWidth="1"/>
    <col min="8" max="8" width="16.625" style="41" customWidth="1"/>
    <col min="9" max="9" width="64.5" style="41" customWidth="1"/>
    <col min="10" max="19" width="11" style="41"/>
    <col min="20" max="20" width="2.625" style="41" customWidth="1"/>
    <col min="21" max="21" width="55.375" style="41" customWidth="1"/>
    <col min="22" max="22" width="11" style="41" customWidth="1"/>
    <col min="23" max="23" width="10.375" style="41" customWidth="1"/>
    <col min="24" max="24" width="11" style="41"/>
    <col min="25" max="258" width="10" style="41"/>
    <col min="259" max="259" width="5.875" style="41" customWidth="1"/>
    <col min="260" max="260" width="57" style="41" customWidth="1"/>
    <col min="261" max="261" width="9" style="41" customWidth="1"/>
    <col min="262" max="263" width="10" style="41"/>
    <col min="264" max="264" width="7.375" style="41" customWidth="1"/>
    <col min="265" max="265" width="55.25" style="41" customWidth="1"/>
    <col min="266" max="276" width="10" style="41"/>
    <col min="277" max="277" width="58.5" style="41" customWidth="1"/>
    <col min="278" max="279" width="13.75" style="41" customWidth="1"/>
    <col min="280" max="514" width="10" style="41"/>
    <col min="515" max="515" width="5.875" style="41" customWidth="1"/>
    <col min="516" max="516" width="57" style="41" customWidth="1"/>
    <col min="517" max="517" width="9" style="41" customWidth="1"/>
    <col min="518" max="519" width="10" style="41"/>
    <col min="520" max="520" width="7.375" style="41" customWidth="1"/>
    <col min="521" max="521" width="55.25" style="41" customWidth="1"/>
    <col min="522" max="532" width="10" style="41"/>
    <col min="533" max="533" width="58.5" style="41" customWidth="1"/>
    <col min="534" max="535" width="13.75" style="41" customWidth="1"/>
    <col min="536" max="770" width="10" style="41"/>
    <col min="771" max="771" width="5.875" style="41" customWidth="1"/>
    <col min="772" max="772" width="57" style="41" customWidth="1"/>
    <col min="773" max="773" width="9" style="41" customWidth="1"/>
    <col min="774" max="775" width="10" style="41"/>
    <col min="776" max="776" width="7.375" style="41" customWidth="1"/>
    <col min="777" max="777" width="55.25" style="41" customWidth="1"/>
    <col min="778" max="788" width="10" style="41"/>
    <col min="789" max="789" width="58.5" style="41" customWidth="1"/>
    <col min="790" max="791" width="13.75" style="41" customWidth="1"/>
    <col min="792" max="1025" width="11" style="41"/>
    <col min="1026" max="1026" width="10" style="41"/>
    <col min="1027" max="1027" width="5.875" style="41" customWidth="1"/>
    <col min="1028" max="1028" width="57" style="41" customWidth="1"/>
    <col min="1029" max="1029" width="9" style="41" customWidth="1"/>
    <col min="1030" max="1031" width="10" style="41"/>
    <col min="1032" max="1032" width="7.375" style="41" customWidth="1"/>
    <col min="1033" max="1033" width="55.25" style="41" customWidth="1"/>
    <col min="1034" max="1044" width="10" style="41"/>
    <col min="1045" max="1045" width="58.5" style="41" customWidth="1"/>
    <col min="1046" max="1047" width="13.75" style="41" customWidth="1"/>
    <col min="1048" max="1282" width="10" style="41"/>
    <col min="1283" max="1283" width="5.875" style="41" customWidth="1"/>
    <col min="1284" max="1284" width="57" style="41" customWidth="1"/>
    <col min="1285" max="1285" width="9" style="41" customWidth="1"/>
    <col min="1286" max="1287" width="10" style="41"/>
    <col min="1288" max="1288" width="7.375" style="41" customWidth="1"/>
    <col min="1289" max="1289" width="55.25" style="41" customWidth="1"/>
    <col min="1290" max="1300" width="10" style="41"/>
    <col min="1301" max="1301" width="58.5" style="41" customWidth="1"/>
    <col min="1302" max="1303" width="13.75" style="41" customWidth="1"/>
    <col min="1304" max="1538" width="10" style="41"/>
    <col min="1539" max="1539" width="5.875" style="41" customWidth="1"/>
    <col min="1540" max="1540" width="57" style="41" customWidth="1"/>
    <col min="1541" max="1541" width="9" style="41" customWidth="1"/>
    <col min="1542" max="1543" width="10" style="41"/>
    <col min="1544" max="1544" width="7.375" style="41" customWidth="1"/>
    <col min="1545" max="1545" width="55.25" style="41" customWidth="1"/>
    <col min="1546" max="1556" width="10" style="41"/>
    <col min="1557" max="1557" width="58.5" style="41" customWidth="1"/>
    <col min="1558" max="1559" width="13.75" style="41" customWidth="1"/>
    <col min="1560" max="1794" width="10" style="41"/>
    <col min="1795" max="1795" width="5.875" style="41" customWidth="1"/>
    <col min="1796" max="1796" width="57" style="41" customWidth="1"/>
    <col min="1797" max="1797" width="9" style="41" customWidth="1"/>
    <col min="1798" max="1799" width="10" style="41"/>
    <col min="1800" max="1800" width="7.375" style="41" customWidth="1"/>
    <col min="1801" max="1801" width="55.25" style="41" customWidth="1"/>
    <col min="1802" max="1812" width="10" style="41"/>
    <col min="1813" max="1813" width="58.5" style="41" customWidth="1"/>
    <col min="1814" max="1815" width="13.75" style="41" customWidth="1"/>
    <col min="1816" max="2049" width="11" style="41"/>
    <col min="2050" max="2050" width="10" style="41"/>
    <col min="2051" max="2051" width="5.875" style="41" customWidth="1"/>
    <col min="2052" max="2052" width="57" style="41" customWidth="1"/>
    <col min="2053" max="2053" width="9" style="41" customWidth="1"/>
    <col min="2054" max="2055" width="10" style="41"/>
    <col min="2056" max="2056" width="7.375" style="41" customWidth="1"/>
    <col min="2057" max="2057" width="55.25" style="41" customWidth="1"/>
    <col min="2058" max="2068" width="10" style="41"/>
    <col min="2069" max="2069" width="58.5" style="41" customWidth="1"/>
    <col min="2070" max="2071" width="13.75" style="41" customWidth="1"/>
    <col min="2072" max="2306" width="10" style="41"/>
    <col min="2307" max="2307" width="5.875" style="41" customWidth="1"/>
    <col min="2308" max="2308" width="57" style="41" customWidth="1"/>
    <col min="2309" max="2309" width="9" style="41" customWidth="1"/>
    <col min="2310" max="2311" width="10" style="41"/>
    <col min="2312" max="2312" width="7.375" style="41" customWidth="1"/>
    <col min="2313" max="2313" width="55.25" style="41" customWidth="1"/>
    <col min="2314" max="2324" width="10" style="41"/>
    <col min="2325" max="2325" width="58.5" style="41" customWidth="1"/>
    <col min="2326" max="2327" width="13.75" style="41" customWidth="1"/>
    <col min="2328" max="2562" width="10" style="41"/>
    <col min="2563" max="2563" width="5.875" style="41" customWidth="1"/>
    <col min="2564" max="2564" width="57" style="41" customWidth="1"/>
    <col min="2565" max="2565" width="9" style="41" customWidth="1"/>
    <col min="2566" max="2567" width="10" style="41"/>
    <col min="2568" max="2568" width="7.375" style="41" customWidth="1"/>
    <col min="2569" max="2569" width="55.25" style="41" customWidth="1"/>
    <col min="2570" max="2580" width="10" style="41"/>
    <col min="2581" max="2581" width="58.5" style="41" customWidth="1"/>
    <col min="2582" max="2583" width="13.75" style="41" customWidth="1"/>
    <col min="2584" max="2818" width="10" style="41"/>
    <col min="2819" max="2819" width="5.875" style="41" customWidth="1"/>
    <col min="2820" max="2820" width="57" style="41" customWidth="1"/>
    <col min="2821" max="2821" width="9" style="41" customWidth="1"/>
    <col min="2822" max="2823" width="10" style="41"/>
    <col min="2824" max="2824" width="7.375" style="41" customWidth="1"/>
    <col min="2825" max="2825" width="55.25" style="41" customWidth="1"/>
    <col min="2826" max="2836" width="10" style="41"/>
    <col min="2837" max="2837" width="58.5" style="41" customWidth="1"/>
    <col min="2838" max="2839" width="13.75" style="41" customWidth="1"/>
    <col min="2840" max="3073" width="11" style="41"/>
    <col min="3074" max="3074" width="10" style="41"/>
    <col min="3075" max="3075" width="5.875" style="41" customWidth="1"/>
    <col min="3076" max="3076" width="57" style="41" customWidth="1"/>
    <col min="3077" max="3077" width="9" style="41" customWidth="1"/>
    <col min="3078" max="3079" width="10" style="41"/>
    <col min="3080" max="3080" width="7.375" style="41" customWidth="1"/>
    <col min="3081" max="3081" width="55.25" style="41" customWidth="1"/>
    <col min="3082" max="3092" width="10" style="41"/>
    <col min="3093" max="3093" width="58.5" style="41" customWidth="1"/>
    <col min="3094" max="3095" width="13.75" style="41" customWidth="1"/>
    <col min="3096" max="3330" width="10" style="41"/>
    <col min="3331" max="3331" width="5.875" style="41" customWidth="1"/>
    <col min="3332" max="3332" width="57" style="41" customWidth="1"/>
    <col min="3333" max="3333" width="9" style="41" customWidth="1"/>
    <col min="3334" max="3335" width="10" style="41"/>
    <col min="3336" max="3336" width="7.375" style="41" customWidth="1"/>
    <col min="3337" max="3337" width="55.25" style="41" customWidth="1"/>
    <col min="3338" max="3348" width="10" style="41"/>
    <col min="3349" max="3349" width="58.5" style="41" customWidth="1"/>
    <col min="3350" max="3351" width="13.75" style="41" customWidth="1"/>
    <col min="3352" max="3586" width="10" style="41"/>
    <col min="3587" max="3587" width="5.875" style="41" customWidth="1"/>
    <col min="3588" max="3588" width="57" style="41" customWidth="1"/>
    <col min="3589" max="3589" width="9" style="41" customWidth="1"/>
    <col min="3590" max="3591" width="10" style="41"/>
    <col min="3592" max="3592" width="7.375" style="41" customWidth="1"/>
    <col min="3593" max="3593" width="55.25" style="41" customWidth="1"/>
    <col min="3594" max="3604" width="10" style="41"/>
    <col min="3605" max="3605" width="58.5" style="41" customWidth="1"/>
    <col min="3606" max="3607" width="13.75" style="41" customWidth="1"/>
    <col min="3608" max="3842" width="10" style="41"/>
    <col min="3843" max="3843" width="5.875" style="41" customWidth="1"/>
    <col min="3844" max="3844" width="57" style="41" customWidth="1"/>
    <col min="3845" max="3845" width="9" style="41" customWidth="1"/>
    <col min="3846" max="3847" width="10" style="41"/>
    <col min="3848" max="3848" width="7.375" style="41" customWidth="1"/>
    <col min="3849" max="3849" width="55.25" style="41" customWidth="1"/>
    <col min="3850" max="3860" width="10" style="41"/>
    <col min="3861" max="3861" width="58.5" style="41" customWidth="1"/>
    <col min="3862" max="3863" width="13.75" style="41" customWidth="1"/>
    <col min="3864" max="4097" width="11" style="41"/>
    <col min="4098" max="4098" width="10" style="41"/>
    <col min="4099" max="4099" width="5.875" style="41" customWidth="1"/>
    <col min="4100" max="4100" width="57" style="41" customWidth="1"/>
    <col min="4101" max="4101" width="9" style="41" customWidth="1"/>
    <col min="4102" max="4103" width="10" style="41"/>
    <col min="4104" max="4104" width="7.375" style="41" customWidth="1"/>
    <col min="4105" max="4105" width="55.25" style="41" customWidth="1"/>
    <col min="4106" max="4116" width="10" style="41"/>
    <col min="4117" max="4117" width="58.5" style="41" customWidth="1"/>
    <col min="4118" max="4119" width="13.75" style="41" customWidth="1"/>
    <col min="4120" max="4354" width="10" style="41"/>
    <col min="4355" max="4355" width="5.875" style="41" customWidth="1"/>
    <col min="4356" max="4356" width="57" style="41" customWidth="1"/>
    <col min="4357" max="4357" width="9" style="41" customWidth="1"/>
    <col min="4358" max="4359" width="10" style="41"/>
    <col min="4360" max="4360" width="7.375" style="41" customWidth="1"/>
    <col min="4361" max="4361" width="55.25" style="41" customWidth="1"/>
    <col min="4362" max="4372" width="10" style="41"/>
    <col min="4373" max="4373" width="58.5" style="41" customWidth="1"/>
    <col min="4374" max="4375" width="13.75" style="41" customWidth="1"/>
    <col min="4376" max="4610" width="10" style="41"/>
    <col min="4611" max="4611" width="5.875" style="41" customWidth="1"/>
    <col min="4612" max="4612" width="57" style="41" customWidth="1"/>
    <col min="4613" max="4613" width="9" style="41" customWidth="1"/>
    <col min="4614" max="4615" width="10" style="41"/>
    <col min="4616" max="4616" width="7.375" style="41" customWidth="1"/>
    <col min="4617" max="4617" width="55.25" style="41" customWidth="1"/>
    <col min="4618" max="4628" width="10" style="41"/>
    <col min="4629" max="4629" width="58.5" style="41" customWidth="1"/>
    <col min="4630" max="4631" width="13.75" style="41" customWidth="1"/>
    <col min="4632" max="4866" width="10" style="41"/>
    <col min="4867" max="4867" width="5.875" style="41" customWidth="1"/>
    <col min="4868" max="4868" width="57" style="41" customWidth="1"/>
    <col min="4869" max="4869" width="9" style="41" customWidth="1"/>
    <col min="4870" max="4871" width="10" style="41"/>
    <col min="4872" max="4872" width="7.375" style="41" customWidth="1"/>
    <col min="4873" max="4873" width="55.25" style="41" customWidth="1"/>
    <col min="4874" max="4884" width="10" style="41"/>
    <col min="4885" max="4885" width="58.5" style="41" customWidth="1"/>
    <col min="4886" max="4887" width="13.75" style="41" customWidth="1"/>
    <col min="4888" max="5121" width="11" style="41"/>
    <col min="5122" max="5122" width="10" style="41"/>
    <col min="5123" max="5123" width="5.875" style="41" customWidth="1"/>
    <col min="5124" max="5124" width="57" style="41" customWidth="1"/>
    <col min="5125" max="5125" width="9" style="41" customWidth="1"/>
    <col min="5126" max="5127" width="10" style="41"/>
    <col min="5128" max="5128" width="7.375" style="41" customWidth="1"/>
    <col min="5129" max="5129" width="55.25" style="41" customWidth="1"/>
    <col min="5130" max="5140" width="10" style="41"/>
    <col min="5141" max="5141" width="58.5" style="41" customWidth="1"/>
    <col min="5142" max="5143" width="13.75" style="41" customWidth="1"/>
    <col min="5144" max="5378" width="10" style="41"/>
    <col min="5379" max="5379" width="5.875" style="41" customWidth="1"/>
    <col min="5380" max="5380" width="57" style="41" customWidth="1"/>
    <col min="5381" max="5381" width="9" style="41" customWidth="1"/>
    <col min="5382" max="5383" width="10" style="41"/>
    <col min="5384" max="5384" width="7.375" style="41" customWidth="1"/>
    <col min="5385" max="5385" width="55.25" style="41" customWidth="1"/>
    <col min="5386" max="5396" width="10" style="41"/>
    <col min="5397" max="5397" width="58.5" style="41" customWidth="1"/>
    <col min="5398" max="5399" width="13.75" style="41" customWidth="1"/>
    <col min="5400" max="5634" width="10" style="41"/>
    <col min="5635" max="5635" width="5.875" style="41" customWidth="1"/>
    <col min="5636" max="5636" width="57" style="41" customWidth="1"/>
    <col min="5637" max="5637" width="9" style="41" customWidth="1"/>
    <col min="5638" max="5639" width="10" style="41"/>
    <col min="5640" max="5640" width="7.375" style="41" customWidth="1"/>
    <col min="5641" max="5641" width="55.25" style="41" customWidth="1"/>
    <col min="5642" max="5652" width="10" style="41"/>
    <col min="5653" max="5653" width="58.5" style="41" customWidth="1"/>
    <col min="5654" max="5655" width="13.75" style="41" customWidth="1"/>
    <col min="5656" max="5890" width="10" style="41"/>
    <col min="5891" max="5891" width="5.875" style="41" customWidth="1"/>
    <col min="5892" max="5892" width="57" style="41" customWidth="1"/>
    <col min="5893" max="5893" width="9" style="41" customWidth="1"/>
    <col min="5894" max="5895" width="10" style="41"/>
    <col min="5896" max="5896" width="7.375" style="41" customWidth="1"/>
    <col min="5897" max="5897" width="55.25" style="41" customWidth="1"/>
    <col min="5898" max="5908" width="10" style="41"/>
    <col min="5909" max="5909" width="58.5" style="41" customWidth="1"/>
    <col min="5910" max="5911" width="13.75" style="41" customWidth="1"/>
    <col min="5912" max="6145" width="11" style="41"/>
    <col min="6146" max="6146" width="10" style="41"/>
    <col min="6147" max="6147" width="5.875" style="41" customWidth="1"/>
    <col min="6148" max="6148" width="57" style="41" customWidth="1"/>
    <col min="6149" max="6149" width="9" style="41" customWidth="1"/>
    <col min="6150" max="6151" width="10" style="41"/>
    <col min="6152" max="6152" width="7.375" style="41" customWidth="1"/>
    <col min="6153" max="6153" width="55.25" style="41" customWidth="1"/>
    <col min="6154" max="6164" width="10" style="41"/>
    <col min="6165" max="6165" width="58.5" style="41" customWidth="1"/>
    <col min="6166" max="6167" width="13.75" style="41" customWidth="1"/>
    <col min="6168" max="6402" width="10" style="41"/>
    <col min="6403" max="6403" width="5.875" style="41" customWidth="1"/>
    <col min="6404" max="6404" width="57" style="41" customWidth="1"/>
    <col min="6405" max="6405" width="9" style="41" customWidth="1"/>
    <col min="6406" max="6407" width="10" style="41"/>
    <col min="6408" max="6408" width="7.375" style="41" customWidth="1"/>
    <col min="6409" max="6409" width="55.25" style="41" customWidth="1"/>
    <col min="6410" max="6420" width="10" style="41"/>
    <col min="6421" max="6421" width="58.5" style="41" customWidth="1"/>
    <col min="6422" max="6423" width="13.75" style="41" customWidth="1"/>
    <col min="6424" max="6658" width="10" style="41"/>
    <col min="6659" max="6659" width="5.875" style="41" customWidth="1"/>
    <col min="6660" max="6660" width="57" style="41" customWidth="1"/>
    <col min="6661" max="6661" width="9" style="41" customWidth="1"/>
    <col min="6662" max="6663" width="10" style="41"/>
    <col min="6664" max="6664" width="7.375" style="41" customWidth="1"/>
    <col min="6665" max="6665" width="55.25" style="41" customWidth="1"/>
    <col min="6666" max="6676" width="10" style="41"/>
    <col min="6677" max="6677" width="58.5" style="41" customWidth="1"/>
    <col min="6678" max="6679" width="13.75" style="41" customWidth="1"/>
    <col min="6680" max="6914" width="10" style="41"/>
    <col min="6915" max="6915" width="5.875" style="41" customWidth="1"/>
    <col min="6916" max="6916" width="57" style="41" customWidth="1"/>
    <col min="6917" max="6917" width="9" style="41" customWidth="1"/>
    <col min="6918" max="6919" width="10" style="41"/>
    <col min="6920" max="6920" width="7.375" style="41" customWidth="1"/>
    <col min="6921" max="6921" width="55.25" style="41" customWidth="1"/>
    <col min="6922" max="6932" width="10" style="41"/>
    <col min="6933" max="6933" width="58.5" style="41" customWidth="1"/>
    <col min="6934" max="6935" width="13.75" style="41" customWidth="1"/>
    <col min="6936" max="7169" width="11" style="41"/>
    <col min="7170" max="7170" width="10" style="41"/>
    <col min="7171" max="7171" width="5.875" style="41" customWidth="1"/>
    <col min="7172" max="7172" width="57" style="41" customWidth="1"/>
    <col min="7173" max="7173" width="9" style="41" customWidth="1"/>
    <col min="7174" max="7175" width="10" style="41"/>
    <col min="7176" max="7176" width="7.375" style="41" customWidth="1"/>
    <col min="7177" max="7177" width="55.25" style="41" customWidth="1"/>
    <col min="7178" max="7188" width="10" style="41"/>
    <col min="7189" max="7189" width="58.5" style="41" customWidth="1"/>
    <col min="7190" max="7191" width="13.75" style="41" customWidth="1"/>
    <col min="7192" max="7426" width="10" style="41"/>
    <col min="7427" max="7427" width="5.875" style="41" customWidth="1"/>
    <col min="7428" max="7428" width="57" style="41" customWidth="1"/>
    <col min="7429" max="7429" width="9" style="41" customWidth="1"/>
    <col min="7430" max="7431" width="10" style="41"/>
    <col min="7432" max="7432" width="7.375" style="41" customWidth="1"/>
    <col min="7433" max="7433" width="55.25" style="41" customWidth="1"/>
    <col min="7434" max="7444" width="10" style="41"/>
    <col min="7445" max="7445" width="58.5" style="41" customWidth="1"/>
    <col min="7446" max="7447" width="13.75" style="41" customWidth="1"/>
    <col min="7448" max="7682" width="10" style="41"/>
    <col min="7683" max="7683" width="5.875" style="41" customWidth="1"/>
    <col min="7684" max="7684" width="57" style="41" customWidth="1"/>
    <col min="7685" max="7685" width="9" style="41" customWidth="1"/>
    <col min="7686" max="7687" width="10" style="41"/>
    <col min="7688" max="7688" width="7.375" style="41" customWidth="1"/>
    <col min="7689" max="7689" width="55.25" style="41" customWidth="1"/>
    <col min="7690" max="7700" width="10" style="41"/>
    <col min="7701" max="7701" width="58.5" style="41" customWidth="1"/>
    <col min="7702" max="7703" width="13.75" style="41" customWidth="1"/>
    <col min="7704" max="7938" width="10" style="41"/>
    <col min="7939" max="7939" width="5.875" style="41" customWidth="1"/>
    <col min="7940" max="7940" width="57" style="41" customWidth="1"/>
    <col min="7941" max="7941" width="9" style="41" customWidth="1"/>
    <col min="7942" max="7943" width="10" style="41"/>
    <col min="7944" max="7944" width="7.375" style="41" customWidth="1"/>
    <col min="7945" max="7945" width="55.25" style="41" customWidth="1"/>
    <col min="7946" max="7956" width="10" style="41"/>
    <col min="7957" max="7957" width="58.5" style="41" customWidth="1"/>
    <col min="7958" max="7959" width="13.75" style="41" customWidth="1"/>
    <col min="7960" max="8193" width="11" style="41"/>
    <col min="8194" max="8194" width="10" style="41"/>
    <col min="8195" max="8195" width="5.875" style="41" customWidth="1"/>
    <col min="8196" max="8196" width="57" style="41" customWidth="1"/>
    <col min="8197" max="8197" width="9" style="41" customWidth="1"/>
    <col min="8198" max="8199" width="10" style="41"/>
    <col min="8200" max="8200" width="7.375" style="41" customWidth="1"/>
    <col min="8201" max="8201" width="55.25" style="41" customWidth="1"/>
    <col min="8202" max="8212" width="10" style="41"/>
    <col min="8213" max="8213" width="58.5" style="41" customWidth="1"/>
    <col min="8214" max="8215" width="13.75" style="41" customWidth="1"/>
    <col min="8216" max="8450" width="10" style="41"/>
    <col min="8451" max="8451" width="5.875" style="41" customWidth="1"/>
    <col min="8452" max="8452" width="57" style="41" customWidth="1"/>
    <col min="8453" max="8453" width="9" style="41" customWidth="1"/>
    <col min="8454" max="8455" width="10" style="41"/>
    <col min="8456" max="8456" width="7.375" style="41" customWidth="1"/>
    <col min="8457" max="8457" width="55.25" style="41" customWidth="1"/>
    <col min="8458" max="8468" width="10" style="41"/>
    <col min="8469" max="8469" width="58.5" style="41" customWidth="1"/>
    <col min="8470" max="8471" width="13.75" style="41" customWidth="1"/>
    <col min="8472" max="8706" width="10" style="41"/>
    <col min="8707" max="8707" width="5.875" style="41" customWidth="1"/>
    <col min="8708" max="8708" width="57" style="41" customWidth="1"/>
    <col min="8709" max="8709" width="9" style="41" customWidth="1"/>
    <col min="8710" max="8711" width="10" style="41"/>
    <col min="8712" max="8712" width="7.375" style="41" customWidth="1"/>
    <col min="8713" max="8713" width="55.25" style="41" customWidth="1"/>
    <col min="8714" max="8724" width="10" style="41"/>
    <col min="8725" max="8725" width="58.5" style="41" customWidth="1"/>
    <col min="8726" max="8727" width="13.75" style="41" customWidth="1"/>
    <col min="8728" max="8962" width="10" style="41"/>
    <col min="8963" max="8963" width="5.875" style="41" customWidth="1"/>
    <col min="8964" max="8964" width="57" style="41" customWidth="1"/>
    <col min="8965" max="8965" width="9" style="41" customWidth="1"/>
    <col min="8966" max="8967" width="10" style="41"/>
    <col min="8968" max="8968" width="7.375" style="41" customWidth="1"/>
    <col min="8969" max="8969" width="55.25" style="41" customWidth="1"/>
    <col min="8970" max="8980" width="10" style="41"/>
    <col min="8981" max="8981" width="58.5" style="41" customWidth="1"/>
    <col min="8982" max="8983" width="13.75" style="41" customWidth="1"/>
    <col min="8984" max="9217" width="11" style="41"/>
    <col min="9218" max="9218" width="10" style="41"/>
    <col min="9219" max="9219" width="5.875" style="41" customWidth="1"/>
    <col min="9220" max="9220" width="57" style="41" customWidth="1"/>
    <col min="9221" max="9221" width="9" style="41" customWidth="1"/>
    <col min="9222" max="9223" width="10" style="41"/>
    <col min="9224" max="9224" width="7.375" style="41" customWidth="1"/>
    <col min="9225" max="9225" width="55.25" style="41" customWidth="1"/>
    <col min="9226" max="9236" width="10" style="41"/>
    <col min="9237" max="9237" width="58.5" style="41" customWidth="1"/>
    <col min="9238" max="9239" width="13.75" style="41" customWidth="1"/>
    <col min="9240" max="9474" width="10" style="41"/>
    <col min="9475" max="9475" width="5.875" style="41" customWidth="1"/>
    <col min="9476" max="9476" width="57" style="41" customWidth="1"/>
    <col min="9477" max="9477" width="9" style="41" customWidth="1"/>
    <col min="9478" max="9479" width="10" style="41"/>
    <col min="9480" max="9480" width="7.375" style="41" customWidth="1"/>
    <col min="9481" max="9481" width="55.25" style="41" customWidth="1"/>
    <col min="9482" max="9492" width="10" style="41"/>
    <col min="9493" max="9493" width="58.5" style="41" customWidth="1"/>
    <col min="9494" max="9495" width="13.75" style="41" customWidth="1"/>
    <col min="9496" max="9730" width="10" style="41"/>
    <col min="9731" max="9731" width="5.875" style="41" customWidth="1"/>
    <col min="9732" max="9732" width="57" style="41" customWidth="1"/>
    <col min="9733" max="9733" width="9" style="41" customWidth="1"/>
    <col min="9734" max="9735" width="10" style="41"/>
    <col min="9736" max="9736" width="7.375" style="41" customWidth="1"/>
    <col min="9737" max="9737" width="55.25" style="41" customWidth="1"/>
    <col min="9738" max="9748" width="10" style="41"/>
    <col min="9749" max="9749" width="58.5" style="41" customWidth="1"/>
    <col min="9750" max="9751" width="13.75" style="41" customWidth="1"/>
    <col min="9752" max="9986" width="10" style="41"/>
    <col min="9987" max="9987" width="5.875" style="41" customWidth="1"/>
    <col min="9988" max="9988" width="57" style="41" customWidth="1"/>
    <col min="9989" max="9989" width="9" style="41" customWidth="1"/>
    <col min="9990" max="9991" width="10" style="41"/>
    <col min="9992" max="9992" width="7.375" style="41" customWidth="1"/>
    <col min="9993" max="9993" width="55.25" style="41" customWidth="1"/>
    <col min="9994" max="10004" width="10" style="41"/>
    <col min="10005" max="10005" width="58.5" style="41" customWidth="1"/>
    <col min="10006" max="10007" width="13.75" style="41" customWidth="1"/>
    <col min="10008" max="10241" width="11" style="41"/>
    <col min="10242" max="10242" width="10" style="41"/>
    <col min="10243" max="10243" width="5.875" style="41" customWidth="1"/>
    <col min="10244" max="10244" width="57" style="41" customWidth="1"/>
    <col min="10245" max="10245" width="9" style="41" customWidth="1"/>
    <col min="10246" max="10247" width="10" style="41"/>
    <col min="10248" max="10248" width="7.375" style="41" customWidth="1"/>
    <col min="10249" max="10249" width="55.25" style="41" customWidth="1"/>
    <col min="10250" max="10260" width="10" style="41"/>
    <col min="10261" max="10261" width="58.5" style="41" customWidth="1"/>
    <col min="10262" max="10263" width="13.75" style="41" customWidth="1"/>
    <col min="10264" max="10498" width="10" style="41"/>
    <col min="10499" max="10499" width="5.875" style="41" customWidth="1"/>
    <col min="10500" max="10500" width="57" style="41" customWidth="1"/>
    <col min="10501" max="10501" width="9" style="41" customWidth="1"/>
    <col min="10502" max="10503" width="10" style="41"/>
    <col min="10504" max="10504" width="7.375" style="41" customWidth="1"/>
    <col min="10505" max="10505" width="55.25" style="41" customWidth="1"/>
    <col min="10506" max="10516" width="10" style="41"/>
    <col min="10517" max="10517" width="58.5" style="41" customWidth="1"/>
    <col min="10518" max="10519" width="13.75" style="41" customWidth="1"/>
    <col min="10520" max="10754" width="10" style="41"/>
    <col min="10755" max="10755" width="5.875" style="41" customWidth="1"/>
    <col min="10756" max="10756" width="57" style="41" customWidth="1"/>
    <col min="10757" max="10757" width="9" style="41" customWidth="1"/>
    <col min="10758" max="10759" width="10" style="41"/>
    <col min="10760" max="10760" width="7.375" style="41" customWidth="1"/>
    <col min="10761" max="10761" width="55.25" style="41" customWidth="1"/>
    <col min="10762" max="10772" width="10" style="41"/>
    <col min="10773" max="10773" width="58.5" style="41" customWidth="1"/>
    <col min="10774" max="10775" width="13.75" style="41" customWidth="1"/>
    <col min="10776" max="11010" width="10" style="41"/>
    <col min="11011" max="11011" width="5.875" style="41" customWidth="1"/>
    <col min="11012" max="11012" width="57" style="41" customWidth="1"/>
    <col min="11013" max="11013" width="9" style="41" customWidth="1"/>
    <col min="11014" max="11015" width="10" style="41"/>
    <col min="11016" max="11016" width="7.375" style="41" customWidth="1"/>
    <col min="11017" max="11017" width="55.25" style="41" customWidth="1"/>
    <col min="11018" max="11028" width="10" style="41"/>
    <col min="11029" max="11029" width="58.5" style="41" customWidth="1"/>
    <col min="11030" max="11031" width="13.75" style="41" customWidth="1"/>
    <col min="11032" max="11265" width="11" style="41"/>
    <col min="11266" max="11266" width="10" style="41"/>
    <col min="11267" max="11267" width="5.875" style="41" customWidth="1"/>
    <col min="11268" max="11268" width="57" style="41" customWidth="1"/>
    <col min="11269" max="11269" width="9" style="41" customWidth="1"/>
    <col min="11270" max="11271" width="10" style="41"/>
    <col min="11272" max="11272" width="7.375" style="41" customWidth="1"/>
    <col min="11273" max="11273" width="55.25" style="41" customWidth="1"/>
    <col min="11274" max="11284" width="10" style="41"/>
    <col min="11285" max="11285" width="58.5" style="41" customWidth="1"/>
    <col min="11286" max="11287" width="13.75" style="41" customWidth="1"/>
    <col min="11288" max="11522" width="10" style="41"/>
    <col min="11523" max="11523" width="5.875" style="41" customWidth="1"/>
    <col min="11524" max="11524" width="57" style="41" customWidth="1"/>
    <col min="11525" max="11525" width="9" style="41" customWidth="1"/>
    <col min="11526" max="11527" width="10" style="41"/>
    <col min="11528" max="11528" width="7.375" style="41" customWidth="1"/>
    <col min="11529" max="11529" width="55.25" style="41" customWidth="1"/>
    <col min="11530" max="11540" width="10" style="41"/>
    <col min="11541" max="11541" width="58.5" style="41" customWidth="1"/>
    <col min="11542" max="11543" width="13.75" style="41" customWidth="1"/>
    <col min="11544" max="11778" width="10" style="41"/>
    <col min="11779" max="11779" width="5.875" style="41" customWidth="1"/>
    <col min="11780" max="11780" width="57" style="41" customWidth="1"/>
    <col min="11781" max="11781" width="9" style="41" customWidth="1"/>
    <col min="11782" max="11783" width="10" style="41"/>
    <col min="11784" max="11784" width="7.375" style="41" customWidth="1"/>
    <col min="11785" max="11785" width="55.25" style="41" customWidth="1"/>
    <col min="11786" max="11796" width="10" style="41"/>
    <col min="11797" max="11797" width="58.5" style="41" customWidth="1"/>
    <col min="11798" max="11799" width="13.75" style="41" customWidth="1"/>
    <col min="11800" max="12034" width="10" style="41"/>
    <col min="12035" max="12035" width="5.875" style="41" customWidth="1"/>
    <col min="12036" max="12036" width="57" style="41" customWidth="1"/>
    <col min="12037" max="12037" width="9" style="41" customWidth="1"/>
    <col min="12038" max="12039" width="10" style="41"/>
    <col min="12040" max="12040" width="7.375" style="41" customWidth="1"/>
    <col min="12041" max="12041" width="55.25" style="41" customWidth="1"/>
    <col min="12042" max="12052" width="10" style="41"/>
    <col min="12053" max="12053" width="58.5" style="41" customWidth="1"/>
    <col min="12054" max="12055" width="13.75" style="41" customWidth="1"/>
    <col min="12056" max="12289" width="11" style="41"/>
    <col min="12290" max="12290" width="10" style="41"/>
    <col min="12291" max="12291" width="5.875" style="41" customWidth="1"/>
    <col min="12292" max="12292" width="57" style="41" customWidth="1"/>
    <col min="12293" max="12293" width="9" style="41" customWidth="1"/>
    <col min="12294" max="12295" width="10" style="41"/>
    <col min="12296" max="12296" width="7.375" style="41" customWidth="1"/>
    <col min="12297" max="12297" width="55.25" style="41" customWidth="1"/>
    <col min="12298" max="12308" width="10" style="41"/>
    <col min="12309" max="12309" width="58.5" style="41" customWidth="1"/>
    <col min="12310" max="12311" width="13.75" style="41" customWidth="1"/>
    <col min="12312" max="12546" width="10" style="41"/>
    <col min="12547" max="12547" width="5.875" style="41" customWidth="1"/>
    <col min="12548" max="12548" width="57" style="41" customWidth="1"/>
    <col min="12549" max="12549" width="9" style="41" customWidth="1"/>
    <col min="12550" max="12551" width="10" style="41"/>
    <col min="12552" max="12552" width="7.375" style="41" customWidth="1"/>
    <col min="12553" max="12553" width="55.25" style="41" customWidth="1"/>
    <col min="12554" max="12564" width="10" style="41"/>
    <col min="12565" max="12565" width="58.5" style="41" customWidth="1"/>
    <col min="12566" max="12567" width="13.75" style="41" customWidth="1"/>
    <col min="12568" max="12802" width="10" style="41"/>
    <col min="12803" max="12803" width="5.875" style="41" customWidth="1"/>
    <col min="12804" max="12804" width="57" style="41" customWidth="1"/>
    <col min="12805" max="12805" width="9" style="41" customWidth="1"/>
    <col min="12806" max="12807" width="10" style="41"/>
    <col min="12808" max="12808" width="7.375" style="41" customWidth="1"/>
    <col min="12809" max="12809" width="55.25" style="41" customWidth="1"/>
    <col min="12810" max="12820" width="10" style="41"/>
    <col min="12821" max="12821" width="58.5" style="41" customWidth="1"/>
    <col min="12822" max="12823" width="13.75" style="41" customWidth="1"/>
    <col min="12824" max="13058" width="10" style="41"/>
    <col min="13059" max="13059" width="5.875" style="41" customWidth="1"/>
    <col min="13060" max="13060" width="57" style="41" customWidth="1"/>
    <col min="13061" max="13061" width="9" style="41" customWidth="1"/>
    <col min="13062" max="13063" width="10" style="41"/>
    <col min="13064" max="13064" width="7.375" style="41" customWidth="1"/>
    <col min="13065" max="13065" width="55.25" style="41" customWidth="1"/>
    <col min="13066" max="13076" width="10" style="41"/>
    <col min="13077" max="13077" width="58.5" style="41" customWidth="1"/>
    <col min="13078" max="13079" width="13.75" style="41" customWidth="1"/>
    <col min="13080" max="13313" width="11" style="41"/>
    <col min="13314" max="13314" width="10" style="41"/>
    <col min="13315" max="13315" width="5.875" style="41" customWidth="1"/>
    <col min="13316" max="13316" width="57" style="41" customWidth="1"/>
    <col min="13317" max="13317" width="9" style="41" customWidth="1"/>
    <col min="13318" max="13319" width="10" style="41"/>
    <col min="13320" max="13320" width="7.375" style="41" customWidth="1"/>
    <col min="13321" max="13321" width="55.25" style="41" customWidth="1"/>
    <col min="13322" max="13332" width="10" style="41"/>
    <col min="13333" max="13333" width="58.5" style="41" customWidth="1"/>
    <col min="13334" max="13335" width="13.75" style="41" customWidth="1"/>
    <col min="13336" max="13570" width="10" style="41"/>
    <col min="13571" max="13571" width="5.875" style="41" customWidth="1"/>
    <col min="13572" max="13572" width="57" style="41" customWidth="1"/>
    <col min="13573" max="13573" width="9" style="41" customWidth="1"/>
    <col min="13574" max="13575" width="10" style="41"/>
    <col min="13576" max="13576" width="7.375" style="41" customWidth="1"/>
    <col min="13577" max="13577" width="55.25" style="41" customWidth="1"/>
    <col min="13578" max="13588" width="10" style="41"/>
    <col min="13589" max="13589" width="58.5" style="41" customWidth="1"/>
    <col min="13590" max="13591" width="13.75" style="41" customWidth="1"/>
    <col min="13592" max="13826" width="10" style="41"/>
    <col min="13827" max="13827" width="5.875" style="41" customWidth="1"/>
    <col min="13828" max="13828" width="57" style="41" customWidth="1"/>
    <col min="13829" max="13829" width="9" style="41" customWidth="1"/>
    <col min="13830" max="13831" width="10" style="41"/>
    <col min="13832" max="13832" width="7.375" style="41" customWidth="1"/>
    <col min="13833" max="13833" width="55.25" style="41" customWidth="1"/>
    <col min="13834" max="13844" width="10" style="41"/>
    <col min="13845" max="13845" width="58.5" style="41" customWidth="1"/>
    <col min="13846" max="13847" width="13.75" style="41" customWidth="1"/>
    <col min="13848" max="14082" width="10" style="41"/>
    <col min="14083" max="14083" width="5.875" style="41" customWidth="1"/>
    <col min="14084" max="14084" width="57" style="41" customWidth="1"/>
    <col min="14085" max="14085" width="9" style="41" customWidth="1"/>
    <col min="14086" max="14087" width="10" style="41"/>
    <col min="14088" max="14088" width="7.375" style="41" customWidth="1"/>
    <col min="14089" max="14089" width="55.25" style="41" customWidth="1"/>
    <col min="14090" max="14100" width="10" style="41"/>
    <col min="14101" max="14101" width="58.5" style="41" customWidth="1"/>
    <col min="14102" max="14103" width="13.75" style="41" customWidth="1"/>
    <col min="14104" max="14337" width="11" style="41"/>
    <col min="14338" max="14338" width="10" style="41"/>
    <col min="14339" max="14339" width="5.875" style="41" customWidth="1"/>
    <col min="14340" max="14340" width="57" style="41" customWidth="1"/>
    <col min="14341" max="14341" width="9" style="41" customWidth="1"/>
    <col min="14342" max="14343" width="10" style="41"/>
    <col min="14344" max="14344" width="7.375" style="41" customWidth="1"/>
    <col min="14345" max="14345" width="55.25" style="41" customWidth="1"/>
    <col min="14346" max="14356" width="10" style="41"/>
    <col min="14357" max="14357" width="58.5" style="41" customWidth="1"/>
    <col min="14358" max="14359" width="13.75" style="41" customWidth="1"/>
    <col min="14360" max="14594" width="10" style="41"/>
    <col min="14595" max="14595" width="5.875" style="41" customWidth="1"/>
    <col min="14596" max="14596" width="57" style="41" customWidth="1"/>
    <col min="14597" max="14597" width="9" style="41" customWidth="1"/>
    <col min="14598" max="14599" width="10" style="41"/>
    <col min="14600" max="14600" width="7.375" style="41" customWidth="1"/>
    <col min="14601" max="14601" width="55.25" style="41" customWidth="1"/>
    <col min="14602" max="14612" width="10" style="41"/>
    <col min="14613" max="14613" width="58.5" style="41" customWidth="1"/>
    <col min="14614" max="14615" width="13.75" style="41" customWidth="1"/>
    <col min="14616" max="14850" width="10" style="41"/>
    <col min="14851" max="14851" width="5.875" style="41" customWidth="1"/>
    <col min="14852" max="14852" width="57" style="41" customWidth="1"/>
    <col min="14853" max="14853" width="9" style="41" customWidth="1"/>
    <col min="14854" max="14855" width="10" style="41"/>
    <col min="14856" max="14856" width="7.375" style="41" customWidth="1"/>
    <col min="14857" max="14857" width="55.25" style="41" customWidth="1"/>
    <col min="14858" max="14868" width="10" style="41"/>
    <col min="14869" max="14869" width="58.5" style="41" customWidth="1"/>
    <col min="14870" max="14871" width="13.75" style="41" customWidth="1"/>
    <col min="14872" max="15106" width="10" style="41"/>
    <col min="15107" max="15107" width="5.875" style="41" customWidth="1"/>
    <col min="15108" max="15108" width="57" style="41" customWidth="1"/>
    <col min="15109" max="15109" width="9" style="41" customWidth="1"/>
    <col min="15110" max="15111" width="10" style="41"/>
    <col min="15112" max="15112" width="7.375" style="41" customWidth="1"/>
    <col min="15113" max="15113" width="55.25" style="41" customWidth="1"/>
    <col min="15114" max="15124" width="10" style="41"/>
    <col min="15125" max="15125" width="58.5" style="41" customWidth="1"/>
    <col min="15126" max="15127" width="13.75" style="41" customWidth="1"/>
    <col min="15128" max="15361" width="11" style="41"/>
    <col min="15362" max="15362" width="10" style="41"/>
    <col min="15363" max="15363" width="5.875" style="41" customWidth="1"/>
    <col min="15364" max="15364" width="57" style="41" customWidth="1"/>
    <col min="15365" max="15365" width="9" style="41" customWidth="1"/>
    <col min="15366" max="15367" width="10" style="41"/>
    <col min="15368" max="15368" width="7.375" style="41" customWidth="1"/>
    <col min="15369" max="15369" width="55.25" style="41" customWidth="1"/>
    <col min="15370" max="15380" width="10" style="41"/>
    <col min="15381" max="15381" width="58.5" style="41" customWidth="1"/>
    <col min="15382" max="15383" width="13.75" style="41" customWidth="1"/>
    <col min="15384" max="15618" width="10" style="41"/>
    <col min="15619" max="15619" width="5.875" style="41" customWidth="1"/>
    <col min="15620" max="15620" width="57" style="41" customWidth="1"/>
    <col min="15621" max="15621" width="9" style="41" customWidth="1"/>
    <col min="15622" max="15623" width="10" style="41"/>
    <col min="15624" max="15624" width="7.375" style="41" customWidth="1"/>
    <col min="15625" max="15625" width="55.25" style="41" customWidth="1"/>
    <col min="15626" max="15636" width="10" style="41"/>
    <col min="15637" max="15637" width="58.5" style="41" customWidth="1"/>
    <col min="15638" max="15639" width="13.75" style="41" customWidth="1"/>
    <col min="15640" max="15874" width="10" style="41"/>
    <col min="15875" max="15875" width="5.875" style="41" customWidth="1"/>
    <col min="15876" max="15876" width="57" style="41" customWidth="1"/>
    <col min="15877" max="15877" width="9" style="41" customWidth="1"/>
    <col min="15878" max="15879" width="10" style="41"/>
    <col min="15880" max="15880" width="7.375" style="41" customWidth="1"/>
    <col min="15881" max="15881" width="55.25" style="41" customWidth="1"/>
    <col min="15882" max="15892" width="10" style="41"/>
    <col min="15893" max="15893" width="58.5" style="41" customWidth="1"/>
    <col min="15894" max="15895" width="13.75" style="41" customWidth="1"/>
    <col min="15896" max="16130" width="10" style="41"/>
    <col min="16131" max="16131" width="5.875" style="41" customWidth="1"/>
    <col min="16132" max="16132" width="57" style="41" customWidth="1"/>
    <col min="16133" max="16133" width="9" style="41" customWidth="1"/>
    <col min="16134" max="16135" width="10" style="41"/>
    <col min="16136" max="16136" width="7.375" style="41" customWidth="1"/>
    <col min="16137" max="16137" width="55.25" style="41" customWidth="1"/>
    <col min="16138" max="16148" width="10" style="41"/>
    <col min="16149" max="16149" width="58.5" style="41" customWidth="1"/>
    <col min="16150" max="16151" width="13.75" style="41" customWidth="1"/>
    <col min="16152" max="16384" width="11" style="41"/>
  </cols>
  <sheetData>
    <row r="1" spans="1:21" x14ac:dyDescent="0.3">
      <c r="A1" s="515" t="s">
        <v>464</v>
      </c>
    </row>
    <row r="3" spans="1:21" ht="27.75" x14ac:dyDescent="0.3">
      <c r="B3" s="638" t="s">
        <v>583</v>
      </c>
      <c r="C3" s="638"/>
      <c r="D3" s="638"/>
      <c r="E3" s="638"/>
      <c r="F3" s="638"/>
      <c r="G3" s="638"/>
      <c r="H3" s="638"/>
      <c r="I3" s="638"/>
      <c r="J3" s="638"/>
    </row>
    <row r="4" spans="1:21" ht="17.25" thickBot="1" x14ac:dyDescent="0.35"/>
    <row r="5" spans="1:21" ht="30" customHeight="1" x14ac:dyDescent="0.3">
      <c r="B5" s="443"/>
      <c r="C5" s="639" t="str">
        <f>B3</f>
        <v>ENCUESTA DIRIGIDA A LA POBLACION DE  MOQUEGUA , EDADES ENTRE 15 A 54 AÑOS</v>
      </c>
      <c r="D5" s="639"/>
      <c r="E5" s="639"/>
      <c r="F5" s="639"/>
      <c r="G5" s="639"/>
      <c r="H5" s="639"/>
      <c r="I5" s="639"/>
      <c r="J5" s="444"/>
    </row>
    <row r="6" spans="1:21" ht="18.75" x14ac:dyDescent="0.3">
      <c r="B6" s="445"/>
      <c r="C6" s="455"/>
      <c r="D6" s="464" t="s">
        <v>572</v>
      </c>
      <c r="E6" s="457"/>
      <c r="F6" s="457" t="s">
        <v>602</v>
      </c>
      <c r="G6" s="457"/>
      <c r="H6" s="457" t="s">
        <v>603</v>
      </c>
      <c r="J6" s="446"/>
    </row>
    <row r="7" spans="1:21" x14ac:dyDescent="0.3">
      <c r="B7" s="445"/>
      <c r="E7" s="454"/>
      <c r="J7" s="446"/>
    </row>
    <row r="8" spans="1:21" ht="41.25" customHeight="1" x14ac:dyDescent="0.3">
      <c r="B8" s="460" t="s">
        <v>573</v>
      </c>
      <c r="C8" s="448" t="s">
        <v>594</v>
      </c>
      <c r="D8" s="448"/>
      <c r="E8" s="447"/>
      <c r="F8" s="447"/>
      <c r="G8" s="447"/>
      <c r="H8" s="458" t="s">
        <v>578</v>
      </c>
      <c r="I8" s="447" t="s">
        <v>635</v>
      </c>
      <c r="J8" s="446"/>
      <c r="U8" s="448"/>
    </row>
    <row r="9" spans="1:21" ht="24" customHeight="1" x14ac:dyDescent="0.3">
      <c r="B9" s="445"/>
      <c r="C9" s="448" t="s">
        <v>595</v>
      </c>
      <c r="D9" s="448"/>
      <c r="E9" s="447"/>
      <c r="F9" s="447"/>
      <c r="G9" s="447"/>
      <c r="I9" s="462" t="s">
        <v>591</v>
      </c>
      <c r="J9" s="446"/>
      <c r="U9" s="447"/>
    </row>
    <row r="10" spans="1:21" ht="24" customHeight="1" x14ac:dyDescent="0.3">
      <c r="B10" s="445"/>
      <c r="C10" s="447" t="s">
        <v>596</v>
      </c>
      <c r="D10" s="447"/>
      <c r="E10" s="447"/>
      <c r="F10" s="447"/>
      <c r="G10" s="447"/>
      <c r="I10" s="462" t="s">
        <v>592</v>
      </c>
      <c r="J10" s="446"/>
      <c r="U10" s="447"/>
    </row>
    <row r="11" spans="1:21" ht="24" customHeight="1" x14ac:dyDescent="0.3">
      <c r="B11" s="445"/>
      <c r="C11" s="447" t="s">
        <v>597</v>
      </c>
      <c r="D11" s="447"/>
      <c r="E11" s="447"/>
      <c r="F11" s="447"/>
      <c r="G11" s="447"/>
      <c r="I11" s="462" t="s">
        <v>636</v>
      </c>
      <c r="J11" s="446"/>
      <c r="U11" s="447"/>
    </row>
    <row r="12" spans="1:21" ht="24" customHeight="1" x14ac:dyDescent="0.3">
      <c r="B12" s="445"/>
      <c r="C12" s="447" t="s">
        <v>598</v>
      </c>
      <c r="D12" s="447"/>
      <c r="E12" s="447"/>
      <c r="F12" s="447"/>
      <c r="G12" s="447"/>
      <c r="I12" s="462" t="s">
        <v>593</v>
      </c>
      <c r="J12" s="446"/>
    </row>
    <row r="13" spans="1:21" ht="24" customHeight="1" x14ac:dyDescent="0.3">
      <c r="B13" s="445"/>
      <c r="C13" s="447" t="s">
        <v>599</v>
      </c>
      <c r="D13" s="447"/>
      <c r="E13" s="447"/>
      <c r="F13" s="447"/>
      <c r="G13" s="447"/>
      <c r="I13" s="462" t="s">
        <v>637</v>
      </c>
      <c r="J13" s="446"/>
    </row>
    <row r="14" spans="1:21" ht="24" customHeight="1" x14ac:dyDescent="0.3">
      <c r="B14" s="445"/>
      <c r="C14" s="447" t="s">
        <v>600</v>
      </c>
      <c r="D14" s="447"/>
      <c r="E14" s="447"/>
      <c r="F14" s="447"/>
      <c r="G14" s="447"/>
      <c r="J14" s="446"/>
    </row>
    <row r="15" spans="1:21" ht="37.5" x14ac:dyDescent="0.3">
      <c r="B15" s="445"/>
      <c r="C15" s="447" t="s">
        <v>601</v>
      </c>
      <c r="D15" s="447"/>
      <c r="E15" s="447"/>
      <c r="F15" s="447"/>
      <c r="G15" s="447"/>
      <c r="H15" s="450" t="s">
        <v>580</v>
      </c>
      <c r="I15" s="448" t="s">
        <v>610</v>
      </c>
      <c r="J15" s="446"/>
    </row>
    <row r="16" spans="1:21" ht="24" customHeight="1" x14ac:dyDescent="0.3">
      <c r="B16" s="445"/>
      <c r="C16" s="447" t="s">
        <v>604</v>
      </c>
      <c r="D16" s="447"/>
      <c r="E16" s="447"/>
      <c r="F16" s="447"/>
      <c r="G16" s="447"/>
      <c r="H16" s="447"/>
      <c r="I16" s="447" t="s">
        <v>611</v>
      </c>
      <c r="J16" s="446"/>
    </row>
    <row r="17" spans="2:10" ht="18.75" x14ac:dyDescent="0.3">
      <c r="B17" s="445"/>
      <c r="C17" s="447"/>
      <c r="D17" s="447"/>
      <c r="E17" s="447"/>
      <c r="F17" s="447"/>
      <c r="G17" s="447"/>
      <c r="H17" s="447"/>
      <c r="I17" s="447" t="s">
        <v>612</v>
      </c>
      <c r="J17" s="446"/>
    </row>
    <row r="18" spans="2:10" ht="35.25" customHeight="1" x14ac:dyDescent="0.3">
      <c r="B18" s="460" t="s">
        <v>577</v>
      </c>
      <c r="C18" s="448" t="s">
        <v>606</v>
      </c>
      <c r="D18" s="448"/>
      <c r="E18" s="447"/>
      <c r="F18" s="447"/>
      <c r="G18" s="447"/>
      <c r="H18" s="447"/>
      <c r="I18" s="447" t="s">
        <v>613</v>
      </c>
      <c r="J18" s="446"/>
    </row>
    <row r="19" spans="2:10" ht="24" customHeight="1" x14ac:dyDescent="0.3">
      <c r="B19" s="445"/>
      <c r="C19" s="447" t="s">
        <v>575</v>
      </c>
      <c r="D19" s="447"/>
      <c r="E19" s="447"/>
      <c r="F19" s="447"/>
      <c r="G19" s="447"/>
      <c r="H19" s="447"/>
      <c r="I19" s="447" t="s">
        <v>614</v>
      </c>
      <c r="J19" s="446"/>
    </row>
    <row r="20" spans="2:10" ht="24" customHeight="1" x14ac:dyDescent="0.3">
      <c r="B20" s="445"/>
      <c r="C20" s="447" t="s">
        <v>576</v>
      </c>
      <c r="D20" s="447"/>
      <c r="E20" s="447"/>
      <c r="F20" s="447"/>
      <c r="G20" s="447"/>
      <c r="H20" s="447"/>
      <c r="I20" s="447" t="s">
        <v>615</v>
      </c>
      <c r="J20" s="446"/>
    </row>
    <row r="21" spans="2:10" ht="18.75" x14ac:dyDescent="0.3">
      <c r="B21" s="445"/>
      <c r="C21" s="447"/>
      <c r="D21" s="447"/>
      <c r="E21" s="447"/>
      <c r="F21" s="447"/>
      <c r="G21" s="447"/>
      <c r="H21" s="447"/>
      <c r="I21" s="447"/>
      <c r="J21" s="446"/>
    </row>
    <row r="22" spans="2:10" ht="37.5" x14ac:dyDescent="0.3">
      <c r="B22" s="460" t="s">
        <v>579</v>
      </c>
      <c r="C22" s="448" t="s">
        <v>605</v>
      </c>
      <c r="D22" s="448"/>
      <c r="E22" s="447"/>
      <c r="F22" s="447"/>
      <c r="G22" s="447"/>
      <c r="H22" s="450" t="s">
        <v>582</v>
      </c>
      <c r="I22" s="448" t="s">
        <v>616</v>
      </c>
      <c r="J22" s="446"/>
    </row>
    <row r="23" spans="2:10" ht="18.75" x14ac:dyDescent="0.3">
      <c r="B23" s="449"/>
      <c r="C23" s="447" t="s">
        <v>607</v>
      </c>
      <c r="D23" s="447"/>
      <c r="E23" s="447"/>
      <c r="F23" s="447"/>
      <c r="G23" s="447"/>
      <c r="H23" s="447"/>
      <c r="I23" s="447" t="s">
        <v>617</v>
      </c>
      <c r="J23" s="446"/>
    </row>
    <row r="24" spans="2:10" ht="18.75" x14ac:dyDescent="0.3">
      <c r="B24" s="445"/>
      <c r="C24" s="447" t="s">
        <v>584</v>
      </c>
      <c r="D24" s="447"/>
      <c r="E24" s="447"/>
      <c r="F24" s="447"/>
      <c r="G24" s="447"/>
      <c r="H24" s="447"/>
      <c r="I24" s="447" t="s">
        <v>618</v>
      </c>
      <c r="J24" s="446"/>
    </row>
    <row r="25" spans="2:10" ht="23.25" customHeight="1" x14ac:dyDescent="0.3">
      <c r="B25" s="445"/>
      <c r="C25" s="447" t="s">
        <v>585</v>
      </c>
      <c r="D25" s="447"/>
      <c r="E25" s="447"/>
      <c r="F25" s="447"/>
      <c r="G25" s="447"/>
      <c r="H25" s="447"/>
      <c r="I25" s="447" t="s">
        <v>619</v>
      </c>
      <c r="J25" s="446"/>
    </row>
    <row r="26" spans="2:10" ht="23.25" customHeight="1" x14ac:dyDescent="0.3">
      <c r="B26" s="445"/>
      <c r="C26" s="447"/>
      <c r="D26" s="447"/>
      <c r="E26" s="447"/>
      <c r="F26" s="447"/>
      <c r="G26" s="447"/>
      <c r="H26" s="447"/>
      <c r="I26" s="447" t="s">
        <v>623</v>
      </c>
      <c r="J26" s="446"/>
    </row>
    <row r="27" spans="2:10" ht="18.75" x14ac:dyDescent="0.3">
      <c r="B27" s="460" t="s">
        <v>581</v>
      </c>
      <c r="C27" s="456" t="s">
        <v>608</v>
      </c>
      <c r="F27" s="447"/>
      <c r="G27" s="447"/>
      <c r="I27" s="447" t="s">
        <v>620</v>
      </c>
      <c r="J27" s="446"/>
    </row>
    <row r="28" spans="2:10" ht="27" customHeight="1" x14ac:dyDescent="0.3">
      <c r="B28" s="445"/>
      <c r="C28" s="447" t="s">
        <v>586</v>
      </c>
      <c r="D28" s="447"/>
      <c r="E28" s="447"/>
      <c r="F28" s="447"/>
      <c r="G28" s="447"/>
      <c r="H28" s="450"/>
      <c r="I28" s="447" t="s">
        <v>621</v>
      </c>
      <c r="J28" s="446"/>
    </row>
    <row r="29" spans="2:10" ht="22.5" customHeight="1" x14ac:dyDescent="0.3">
      <c r="B29" s="445"/>
      <c r="C29" s="447" t="s">
        <v>587</v>
      </c>
      <c r="D29" s="447"/>
      <c r="E29" s="447"/>
      <c r="F29" s="447"/>
      <c r="G29" s="447"/>
      <c r="H29" s="447"/>
      <c r="I29" s="447" t="s">
        <v>622</v>
      </c>
      <c r="J29" s="446"/>
    </row>
    <row r="30" spans="2:10" ht="18.75" x14ac:dyDescent="0.3">
      <c r="B30" s="445"/>
      <c r="C30" s="447" t="s">
        <v>588</v>
      </c>
      <c r="D30" s="447"/>
      <c r="E30" s="447"/>
      <c r="F30" s="447"/>
      <c r="G30" s="447"/>
      <c r="H30" s="447"/>
      <c r="J30" s="446"/>
    </row>
    <row r="31" spans="2:10" ht="37.5" x14ac:dyDescent="0.3">
      <c r="B31" s="445"/>
      <c r="C31" s="447" t="s">
        <v>609</v>
      </c>
      <c r="D31" s="447"/>
      <c r="E31" s="447"/>
      <c r="F31" s="447"/>
      <c r="G31" s="447"/>
      <c r="H31" s="458" t="s">
        <v>633</v>
      </c>
      <c r="I31" s="448" t="s">
        <v>629</v>
      </c>
      <c r="J31" s="446"/>
    </row>
    <row r="32" spans="2:10" ht="18.75" x14ac:dyDescent="0.3">
      <c r="B32" s="445"/>
      <c r="H32" s="450"/>
      <c r="I32" s="448" t="s">
        <v>630</v>
      </c>
      <c r="J32" s="446"/>
    </row>
    <row r="33" spans="2:10" ht="37.5" x14ac:dyDescent="0.3">
      <c r="B33" s="463" t="s">
        <v>574</v>
      </c>
      <c r="C33" s="448" t="s">
        <v>645</v>
      </c>
      <c r="H33" s="447"/>
      <c r="I33" s="447" t="s">
        <v>589</v>
      </c>
      <c r="J33" s="446"/>
    </row>
    <row r="34" spans="2:10" ht="18.75" x14ac:dyDescent="0.3">
      <c r="B34" s="445"/>
      <c r="C34" s="448" t="s">
        <v>625</v>
      </c>
      <c r="H34" s="447"/>
      <c r="I34" s="447" t="s">
        <v>590</v>
      </c>
      <c r="J34" s="446"/>
    </row>
    <row r="35" spans="2:10" ht="18.75" x14ac:dyDescent="0.3">
      <c r="B35" s="445"/>
      <c r="C35" s="447" t="s">
        <v>626</v>
      </c>
      <c r="H35" s="447"/>
      <c r="I35" s="447" t="s">
        <v>631</v>
      </c>
      <c r="J35" s="446"/>
    </row>
    <row r="36" spans="2:10" ht="18.75" x14ac:dyDescent="0.3">
      <c r="B36" s="445"/>
      <c r="C36" s="447" t="s">
        <v>627</v>
      </c>
      <c r="J36" s="446"/>
    </row>
    <row r="37" spans="2:10" ht="37.5" x14ac:dyDescent="0.3">
      <c r="B37" s="445"/>
      <c r="C37" s="447" t="s">
        <v>624</v>
      </c>
      <c r="H37" s="458" t="s">
        <v>634</v>
      </c>
      <c r="I37" s="448" t="s">
        <v>632</v>
      </c>
      <c r="J37" s="446"/>
    </row>
    <row r="38" spans="2:10" ht="18.75" x14ac:dyDescent="0.3">
      <c r="B38" s="445"/>
      <c r="I38" s="447" t="s">
        <v>575</v>
      </c>
      <c r="J38" s="459"/>
    </row>
    <row r="39" spans="2:10" ht="18.75" x14ac:dyDescent="0.3">
      <c r="B39" s="445"/>
      <c r="I39" s="447" t="s">
        <v>576</v>
      </c>
      <c r="J39" s="459"/>
    </row>
    <row r="40" spans="2:10" ht="17.25" thickBot="1" x14ac:dyDescent="0.35">
      <c r="B40" s="451"/>
      <c r="C40" s="452"/>
      <c r="D40" s="452"/>
      <c r="E40" s="452"/>
      <c r="F40" s="452"/>
      <c r="G40" s="452"/>
      <c r="H40" s="452"/>
      <c r="I40" s="452"/>
      <c r="J40" s="453"/>
    </row>
    <row r="61" spans="8:8" ht="18.75" x14ac:dyDescent="0.3">
      <c r="H61" s="458"/>
    </row>
    <row r="62" spans="8:8" ht="18.75" x14ac:dyDescent="0.3">
      <c r="H62" s="450"/>
    </row>
    <row r="63" spans="8:8" ht="18.75" x14ac:dyDescent="0.3">
      <c r="H63" s="447"/>
    </row>
    <row r="64" spans="8:8" ht="18.75" x14ac:dyDescent="0.3">
      <c r="H64" s="447"/>
    </row>
    <row r="65" spans="8:8" ht="18.75" x14ac:dyDescent="0.3">
      <c r="H65" s="447"/>
    </row>
  </sheetData>
  <mergeCells count="2">
    <mergeCell ref="B3:J3"/>
    <mergeCell ref="C5:I5"/>
  </mergeCells>
  <hyperlinks>
    <hyperlink ref="A1" location="INDICE!A1" display="INDICE"/>
  </hyperlink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L1:S60"/>
  <sheetViews>
    <sheetView showGridLines="0" topLeftCell="L1" zoomScaleNormal="100" workbookViewId="0">
      <selection activeCell="L3" sqref="L3:R3"/>
    </sheetView>
  </sheetViews>
  <sheetFormatPr baseColWidth="10" defaultRowHeight="16.5" x14ac:dyDescent="0.3"/>
  <cols>
    <col min="1" max="11" width="0" hidden="1" customWidth="1"/>
    <col min="12" max="12" width="4.75" style="468" customWidth="1"/>
    <col min="13" max="13" width="33.875" style="468" customWidth="1"/>
    <col min="14" max="14" width="8.5" style="465" customWidth="1"/>
    <col min="15" max="15" width="9.75" style="468" customWidth="1"/>
    <col min="16" max="16" width="6.5" style="468" customWidth="1"/>
    <col min="17" max="17" width="5.375" style="468" customWidth="1"/>
    <col min="18" max="18" width="47" style="468" customWidth="1"/>
    <col min="19" max="19" width="10.5" style="465" customWidth="1"/>
    <col min="20" max="20" width="2.25" customWidth="1"/>
    <col min="21" max="27" width="11" customWidth="1"/>
    <col min="255" max="265" width="0" hidden="1" customWidth="1"/>
    <col min="266" max="266" width="2" customWidth="1"/>
    <col min="267" max="267" width="4" customWidth="1"/>
    <col min="268" max="268" width="41.875" customWidth="1"/>
    <col min="269" max="269" width="7.25" customWidth="1"/>
    <col min="270" max="271" width="0" hidden="1" customWidth="1"/>
    <col min="272" max="272" width="4.375" customWidth="1"/>
    <col min="273" max="273" width="55.5" customWidth="1"/>
    <col min="274" max="274" width="4.875" customWidth="1"/>
    <col min="275" max="275" width="2.25" customWidth="1"/>
    <col min="511" max="521" width="0" hidden="1" customWidth="1"/>
    <col min="522" max="522" width="2" customWidth="1"/>
    <col min="523" max="523" width="4" customWidth="1"/>
    <col min="524" max="524" width="41.875" customWidth="1"/>
    <col min="525" max="525" width="7.25" customWidth="1"/>
    <col min="526" max="527" width="0" hidden="1" customWidth="1"/>
    <col min="528" max="528" width="4.375" customWidth="1"/>
    <col min="529" max="529" width="55.5" customWidth="1"/>
    <col min="530" max="530" width="4.875" customWidth="1"/>
    <col min="531" max="531" width="2.25" customWidth="1"/>
    <col min="767" max="777" width="0" hidden="1" customWidth="1"/>
    <col min="778" max="778" width="2" customWidth="1"/>
    <col min="779" max="779" width="4" customWidth="1"/>
    <col min="780" max="780" width="41.875" customWidth="1"/>
    <col min="781" max="781" width="7.25" customWidth="1"/>
    <col min="782" max="783" width="0" hidden="1" customWidth="1"/>
    <col min="784" max="784" width="4.375" customWidth="1"/>
    <col min="785" max="785" width="55.5" customWidth="1"/>
    <col min="786" max="786" width="4.875" customWidth="1"/>
    <col min="787" max="787" width="2.25" customWidth="1"/>
    <col min="1023" max="1033" width="0" hidden="1" customWidth="1"/>
    <col min="1034" max="1034" width="2" customWidth="1"/>
    <col min="1035" max="1035" width="4" customWidth="1"/>
    <col min="1036" max="1036" width="41.875" customWidth="1"/>
    <col min="1037" max="1037" width="7.25" customWidth="1"/>
    <col min="1038" max="1039" width="0" hidden="1" customWidth="1"/>
    <col min="1040" max="1040" width="4.375" customWidth="1"/>
    <col min="1041" max="1041" width="55.5" customWidth="1"/>
    <col min="1042" max="1042" width="4.875" customWidth="1"/>
    <col min="1043" max="1043" width="2.25" customWidth="1"/>
    <col min="1279" max="1289" width="0" hidden="1" customWidth="1"/>
    <col min="1290" max="1290" width="2" customWidth="1"/>
    <col min="1291" max="1291" width="4" customWidth="1"/>
    <col min="1292" max="1292" width="41.875" customWidth="1"/>
    <col min="1293" max="1293" width="7.25" customWidth="1"/>
    <col min="1294" max="1295" width="0" hidden="1" customWidth="1"/>
    <col min="1296" max="1296" width="4.375" customWidth="1"/>
    <col min="1297" max="1297" width="55.5" customWidth="1"/>
    <col min="1298" max="1298" width="4.875" customWidth="1"/>
    <col min="1299" max="1299" width="2.25" customWidth="1"/>
    <col min="1535" max="1545" width="0" hidden="1" customWidth="1"/>
    <col min="1546" max="1546" width="2" customWidth="1"/>
    <col min="1547" max="1547" width="4" customWidth="1"/>
    <col min="1548" max="1548" width="41.875" customWidth="1"/>
    <col min="1549" max="1549" width="7.25" customWidth="1"/>
    <col min="1550" max="1551" width="0" hidden="1" customWidth="1"/>
    <col min="1552" max="1552" width="4.375" customWidth="1"/>
    <col min="1553" max="1553" width="55.5" customWidth="1"/>
    <col min="1554" max="1554" width="4.875" customWidth="1"/>
    <col min="1555" max="1555" width="2.25" customWidth="1"/>
    <col min="1791" max="1801" width="0" hidden="1" customWidth="1"/>
    <col min="1802" max="1802" width="2" customWidth="1"/>
    <col min="1803" max="1803" width="4" customWidth="1"/>
    <col min="1804" max="1804" width="41.875" customWidth="1"/>
    <col min="1805" max="1805" width="7.25" customWidth="1"/>
    <col min="1806" max="1807" width="0" hidden="1" customWidth="1"/>
    <col min="1808" max="1808" width="4.375" customWidth="1"/>
    <col min="1809" max="1809" width="55.5" customWidth="1"/>
    <col min="1810" max="1810" width="4.875" customWidth="1"/>
    <col min="1811" max="1811" width="2.25" customWidth="1"/>
    <col min="2047" max="2057" width="0" hidden="1" customWidth="1"/>
    <col min="2058" max="2058" width="2" customWidth="1"/>
    <col min="2059" max="2059" width="4" customWidth="1"/>
    <col min="2060" max="2060" width="41.875" customWidth="1"/>
    <col min="2061" max="2061" width="7.25" customWidth="1"/>
    <col min="2062" max="2063" width="0" hidden="1" customWidth="1"/>
    <col min="2064" max="2064" width="4.375" customWidth="1"/>
    <col min="2065" max="2065" width="55.5" customWidth="1"/>
    <col min="2066" max="2066" width="4.875" customWidth="1"/>
    <col min="2067" max="2067" width="2.25" customWidth="1"/>
    <col min="2303" max="2313" width="0" hidden="1" customWidth="1"/>
    <col min="2314" max="2314" width="2" customWidth="1"/>
    <col min="2315" max="2315" width="4" customWidth="1"/>
    <col min="2316" max="2316" width="41.875" customWidth="1"/>
    <col min="2317" max="2317" width="7.25" customWidth="1"/>
    <col min="2318" max="2319" width="0" hidden="1" customWidth="1"/>
    <col min="2320" max="2320" width="4.375" customWidth="1"/>
    <col min="2321" max="2321" width="55.5" customWidth="1"/>
    <col min="2322" max="2322" width="4.875" customWidth="1"/>
    <col min="2323" max="2323" width="2.25" customWidth="1"/>
    <col min="2559" max="2569" width="0" hidden="1" customWidth="1"/>
    <col min="2570" max="2570" width="2" customWidth="1"/>
    <col min="2571" max="2571" width="4" customWidth="1"/>
    <col min="2572" max="2572" width="41.875" customWidth="1"/>
    <col min="2573" max="2573" width="7.25" customWidth="1"/>
    <col min="2574" max="2575" width="0" hidden="1" customWidth="1"/>
    <col min="2576" max="2576" width="4.375" customWidth="1"/>
    <col min="2577" max="2577" width="55.5" customWidth="1"/>
    <col min="2578" max="2578" width="4.875" customWidth="1"/>
    <col min="2579" max="2579" width="2.25" customWidth="1"/>
    <col min="2815" max="2825" width="0" hidden="1" customWidth="1"/>
    <col min="2826" max="2826" width="2" customWidth="1"/>
    <col min="2827" max="2827" width="4" customWidth="1"/>
    <col min="2828" max="2828" width="41.875" customWidth="1"/>
    <col min="2829" max="2829" width="7.25" customWidth="1"/>
    <col min="2830" max="2831" width="0" hidden="1" customWidth="1"/>
    <col min="2832" max="2832" width="4.375" customWidth="1"/>
    <col min="2833" max="2833" width="55.5" customWidth="1"/>
    <col min="2834" max="2834" width="4.875" customWidth="1"/>
    <col min="2835" max="2835" width="2.25" customWidth="1"/>
    <col min="3071" max="3081" width="0" hidden="1" customWidth="1"/>
    <col min="3082" max="3082" width="2" customWidth="1"/>
    <col min="3083" max="3083" width="4" customWidth="1"/>
    <col min="3084" max="3084" width="41.875" customWidth="1"/>
    <col min="3085" max="3085" width="7.25" customWidth="1"/>
    <col min="3086" max="3087" width="0" hidden="1" customWidth="1"/>
    <col min="3088" max="3088" width="4.375" customWidth="1"/>
    <col min="3089" max="3089" width="55.5" customWidth="1"/>
    <col min="3090" max="3090" width="4.875" customWidth="1"/>
    <col min="3091" max="3091" width="2.25" customWidth="1"/>
    <col min="3327" max="3337" width="0" hidden="1" customWidth="1"/>
    <col min="3338" max="3338" width="2" customWidth="1"/>
    <col min="3339" max="3339" width="4" customWidth="1"/>
    <col min="3340" max="3340" width="41.875" customWidth="1"/>
    <col min="3341" max="3341" width="7.25" customWidth="1"/>
    <col min="3342" max="3343" width="0" hidden="1" customWidth="1"/>
    <col min="3344" max="3344" width="4.375" customWidth="1"/>
    <col min="3345" max="3345" width="55.5" customWidth="1"/>
    <col min="3346" max="3346" width="4.875" customWidth="1"/>
    <col min="3347" max="3347" width="2.25" customWidth="1"/>
    <col min="3583" max="3593" width="0" hidden="1" customWidth="1"/>
    <col min="3594" max="3594" width="2" customWidth="1"/>
    <col min="3595" max="3595" width="4" customWidth="1"/>
    <col min="3596" max="3596" width="41.875" customWidth="1"/>
    <col min="3597" max="3597" width="7.25" customWidth="1"/>
    <col min="3598" max="3599" width="0" hidden="1" customWidth="1"/>
    <col min="3600" max="3600" width="4.375" customWidth="1"/>
    <col min="3601" max="3601" width="55.5" customWidth="1"/>
    <col min="3602" max="3602" width="4.875" customWidth="1"/>
    <col min="3603" max="3603" width="2.25" customWidth="1"/>
    <col min="3839" max="3849" width="0" hidden="1" customWidth="1"/>
    <col min="3850" max="3850" width="2" customWidth="1"/>
    <col min="3851" max="3851" width="4" customWidth="1"/>
    <col min="3852" max="3852" width="41.875" customWidth="1"/>
    <col min="3853" max="3853" width="7.25" customWidth="1"/>
    <col min="3854" max="3855" width="0" hidden="1" customWidth="1"/>
    <col min="3856" max="3856" width="4.375" customWidth="1"/>
    <col min="3857" max="3857" width="55.5" customWidth="1"/>
    <col min="3858" max="3858" width="4.875" customWidth="1"/>
    <col min="3859" max="3859" width="2.25" customWidth="1"/>
    <col min="4095" max="4105" width="0" hidden="1" customWidth="1"/>
    <col min="4106" max="4106" width="2" customWidth="1"/>
    <col min="4107" max="4107" width="4" customWidth="1"/>
    <col min="4108" max="4108" width="41.875" customWidth="1"/>
    <col min="4109" max="4109" width="7.25" customWidth="1"/>
    <col min="4110" max="4111" width="0" hidden="1" customWidth="1"/>
    <col min="4112" max="4112" width="4.375" customWidth="1"/>
    <col min="4113" max="4113" width="55.5" customWidth="1"/>
    <col min="4114" max="4114" width="4.875" customWidth="1"/>
    <col min="4115" max="4115" width="2.25" customWidth="1"/>
    <col min="4351" max="4361" width="0" hidden="1" customWidth="1"/>
    <col min="4362" max="4362" width="2" customWidth="1"/>
    <col min="4363" max="4363" width="4" customWidth="1"/>
    <col min="4364" max="4364" width="41.875" customWidth="1"/>
    <col min="4365" max="4365" width="7.25" customWidth="1"/>
    <col min="4366" max="4367" width="0" hidden="1" customWidth="1"/>
    <col min="4368" max="4368" width="4.375" customWidth="1"/>
    <col min="4369" max="4369" width="55.5" customWidth="1"/>
    <col min="4370" max="4370" width="4.875" customWidth="1"/>
    <col min="4371" max="4371" width="2.25" customWidth="1"/>
    <col min="4607" max="4617" width="0" hidden="1" customWidth="1"/>
    <col min="4618" max="4618" width="2" customWidth="1"/>
    <col min="4619" max="4619" width="4" customWidth="1"/>
    <col min="4620" max="4620" width="41.875" customWidth="1"/>
    <col min="4621" max="4621" width="7.25" customWidth="1"/>
    <col min="4622" max="4623" width="0" hidden="1" customWidth="1"/>
    <col min="4624" max="4624" width="4.375" customWidth="1"/>
    <col min="4625" max="4625" width="55.5" customWidth="1"/>
    <col min="4626" max="4626" width="4.875" customWidth="1"/>
    <col min="4627" max="4627" width="2.25" customWidth="1"/>
    <col min="4863" max="4873" width="0" hidden="1" customWidth="1"/>
    <col min="4874" max="4874" width="2" customWidth="1"/>
    <col min="4875" max="4875" width="4" customWidth="1"/>
    <col min="4876" max="4876" width="41.875" customWidth="1"/>
    <col min="4877" max="4877" width="7.25" customWidth="1"/>
    <col min="4878" max="4879" width="0" hidden="1" customWidth="1"/>
    <col min="4880" max="4880" width="4.375" customWidth="1"/>
    <col min="4881" max="4881" width="55.5" customWidth="1"/>
    <col min="4882" max="4882" width="4.875" customWidth="1"/>
    <col min="4883" max="4883" width="2.25" customWidth="1"/>
    <col min="5119" max="5129" width="0" hidden="1" customWidth="1"/>
    <col min="5130" max="5130" width="2" customWidth="1"/>
    <col min="5131" max="5131" width="4" customWidth="1"/>
    <col min="5132" max="5132" width="41.875" customWidth="1"/>
    <col min="5133" max="5133" width="7.25" customWidth="1"/>
    <col min="5134" max="5135" width="0" hidden="1" customWidth="1"/>
    <col min="5136" max="5136" width="4.375" customWidth="1"/>
    <col min="5137" max="5137" width="55.5" customWidth="1"/>
    <col min="5138" max="5138" width="4.875" customWidth="1"/>
    <col min="5139" max="5139" width="2.25" customWidth="1"/>
    <col min="5375" max="5385" width="0" hidden="1" customWidth="1"/>
    <col min="5386" max="5386" width="2" customWidth="1"/>
    <col min="5387" max="5387" width="4" customWidth="1"/>
    <col min="5388" max="5388" width="41.875" customWidth="1"/>
    <col min="5389" max="5389" width="7.25" customWidth="1"/>
    <col min="5390" max="5391" width="0" hidden="1" customWidth="1"/>
    <col min="5392" max="5392" width="4.375" customWidth="1"/>
    <col min="5393" max="5393" width="55.5" customWidth="1"/>
    <col min="5394" max="5394" width="4.875" customWidth="1"/>
    <col min="5395" max="5395" width="2.25" customWidth="1"/>
    <col min="5631" max="5641" width="0" hidden="1" customWidth="1"/>
    <col min="5642" max="5642" width="2" customWidth="1"/>
    <col min="5643" max="5643" width="4" customWidth="1"/>
    <col min="5644" max="5644" width="41.875" customWidth="1"/>
    <col min="5645" max="5645" width="7.25" customWidth="1"/>
    <col min="5646" max="5647" width="0" hidden="1" customWidth="1"/>
    <col min="5648" max="5648" width="4.375" customWidth="1"/>
    <col min="5649" max="5649" width="55.5" customWidth="1"/>
    <col min="5650" max="5650" width="4.875" customWidth="1"/>
    <col min="5651" max="5651" width="2.25" customWidth="1"/>
    <col min="5887" max="5897" width="0" hidden="1" customWidth="1"/>
    <col min="5898" max="5898" width="2" customWidth="1"/>
    <col min="5899" max="5899" width="4" customWidth="1"/>
    <col min="5900" max="5900" width="41.875" customWidth="1"/>
    <col min="5901" max="5901" width="7.25" customWidth="1"/>
    <col min="5902" max="5903" width="0" hidden="1" customWidth="1"/>
    <col min="5904" max="5904" width="4.375" customWidth="1"/>
    <col min="5905" max="5905" width="55.5" customWidth="1"/>
    <col min="5906" max="5906" width="4.875" customWidth="1"/>
    <col min="5907" max="5907" width="2.25" customWidth="1"/>
    <col min="6143" max="6153" width="0" hidden="1" customWidth="1"/>
    <col min="6154" max="6154" width="2" customWidth="1"/>
    <col min="6155" max="6155" width="4" customWidth="1"/>
    <col min="6156" max="6156" width="41.875" customWidth="1"/>
    <col min="6157" max="6157" width="7.25" customWidth="1"/>
    <col min="6158" max="6159" width="0" hidden="1" customWidth="1"/>
    <col min="6160" max="6160" width="4.375" customWidth="1"/>
    <col min="6161" max="6161" width="55.5" customWidth="1"/>
    <col min="6162" max="6162" width="4.875" customWidth="1"/>
    <col min="6163" max="6163" width="2.25" customWidth="1"/>
    <col min="6399" max="6409" width="0" hidden="1" customWidth="1"/>
    <col min="6410" max="6410" width="2" customWidth="1"/>
    <col min="6411" max="6411" width="4" customWidth="1"/>
    <col min="6412" max="6412" width="41.875" customWidth="1"/>
    <col min="6413" max="6413" width="7.25" customWidth="1"/>
    <col min="6414" max="6415" width="0" hidden="1" customWidth="1"/>
    <col min="6416" max="6416" width="4.375" customWidth="1"/>
    <col min="6417" max="6417" width="55.5" customWidth="1"/>
    <col min="6418" max="6418" width="4.875" customWidth="1"/>
    <col min="6419" max="6419" width="2.25" customWidth="1"/>
    <col min="6655" max="6665" width="0" hidden="1" customWidth="1"/>
    <col min="6666" max="6666" width="2" customWidth="1"/>
    <col min="6667" max="6667" width="4" customWidth="1"/>
    <col min="6668" max="6668" width="41.875" customWidth="1"/>
    <col min="6669" max="6669" width="7.25" customWidth="1"/>
    <col min="6670" max="6671" width="0" hidden="1" customWidth="1"/>
    <col min="6672" max="6672" width="4.375" customWidth="1"/>
    <col min="6673" max="6673" width="55.5" customWidth="1"/>
    <col min="6674" max="6674" width="4.875" customWidth="1"/>
    <col min="6675" max="6675" width="2.25" customWidth="1"/>
    <col min="6911" max="6921" width="0" hidden="1" customWidth="1"/>
    <col min="6922" max="6922" width="2" customWidth="1"/>
    <col min="6923" max="6923" width="4" customWidth="1"/>
    <col min="6924" max="6924" width="41.875" customWidth="1"/>
    <col min="6925" max="6925" width="7.25" customWidth="1"/>
    <col min="6926" max="6927" width="0" hidden="1" customWidth="1"/>
    <col min="6928" max="6928" width="4.375" customWidth="1"/>
    <col min="6929" max="6929" width="55.5" customWidth="1"/>
    <col min="6930" max="6930" width="4.875" customWidth="1"/>
    <col min="6931" max="6931" width="2.25" customWidth="1"/>
    <col min="7167" max="7177" width="0" hidden="1" customWidth="1"/>
    <col min="7178" max="7178" width="2" customWidth="1"/>
    <col min="7179" max="7179" width="4" customWidth="1"/>
    <col min="7180" max="7180" width="41.875" customWidth="1"/>
    <col min="7181" max="7181" width="7.25" customWidth="1"/>
    <col min="7182" max="7183" width="0" hidden="1" customWidth="1"/>
    <col min="7184" max="7184" width="4.375" customWidth="1"/>
    <col min="7185" max="7185" width="55.5" customWidth="1"/>
    <col min="7186" max="7186" width="4.875" customWidth="1"/>
    <col min="7187" max="7187" width="2.25" customWidth="1"/>
    <col min="7423" max="7433" width="0" hidden="1" customWidth="1"/>
    <col min="7434" max="7434" width="2" customWidth="1"/>
    <col min="7435" max="7435" width="4" customWidth="1"/>
    <col min="7436" max="7436" width="41.875" customWidth="1"/>
    <col min="7437" max="7437" width="7.25" customWidth="1"/>
    <col min="7438" max="7439" width="0" hidden="1" customWidth="1"/>
    <col min="7440" max="7440" width="4.375" customWidth="1"/>
    <col min="7441" max="7441" width="55.5" customWidth="1"/>
    <col min="7442" max="7442" width="4.875" customWidth="1"/>
    <col min="7443" max="7443" width="2.25" customWidth="1"/>
    <col min="7679" max="7689" width="0" hidden="1" customWidth="1"/>
    <col min="7690" max="7690" width="2" customWidth="1"/>
    <col min="7691" max="7691" width="4" customWidth="1"/>
    <col min="7692" max="7692" width="41.875" customWidth="1"/>
    <col min="7693" max="7693" width="7.25" customWidth="1"/>
    <col min="7694" max="7695" width="0" hidden="1" customWidth="1"/>
    <col min="7696" max="7696" width="4.375" customWidth="1"/>
    <col min="7697" max="7697" width="55.5" customWidth="1"/>
    <col min="7698" max="7698" width="4.875" customWidth="1"/>
    <col min="7699" max="7699" width="2.25" customWidth="1"/>
    <col min="7935" max="7945" width="0" hidden="1" customWidth="1"/>
    <col min="7946" max="7946" width="2" customWidth="1"/>
    <col min="7947" max="7947" width="4" customWidth="1"/>
    <col min="7948" max="7948" width="41.875" customWidth="1"/>
    <col min="7949" max="7949" width="7.25" customWidth="1"/>
    <col min="7950" max="7951" width="0" hidden="1" customWidth="1"/>
    <col min="7952" max="7952" width="4.375" customWidth="1"/>
    <col min="7953" max="7953" width="55.5" customWidth="1"/>
    <col min="7954" max="7954" width="4.875" customWidth="1"/>
    <col min="7955" max="7955" width="2.25" customWidth="1"/>
    <col min="8191" max="8201" width="0" hidden="1" customWidth="1"/>
    <col min="8202" max="8202" width="2" customWidth="1"/>
    <col min="8203" max="8203" width="4" customWidth="1"/>
    <col min="8204" max="8204" width="41.875" customWidth="1"/>
    <col min="8205" max="8205" width="7.25" customWidth="1"/>
    <col min="8206" max="8207" width="0" hidden="1" customWidth="1"/>
    <col min="8208" max="8208" width="4.375" customWidth="1"/>
    <col min="8209" max="8209" width="55.5" customWidth="1"/>
    <col min="8210" max="8210" width="4.875" customWidth="1"/>
    <col min="8211" max="8211" width="2.25" customWidth="1"/>
    <col min="8447" max="8457" width="0" hidden="1" customWidth="1"/>
    <col min="8458" max="8458" width="2" customWidth="1"/>
    <col min="8459" max="8459" width="4" customWidth="1"/>
    <col min="8460" max="8460" width="41.875" customWidth="1"/>
    <col min="8461" max="8461" width="7.25" customWidth="1"/>
    <col min="8462" max="8463" width="0" hidden="1" customWidth="1"/>
    <col min="8464" max="8464" width="4.375" customWidth="1"/>
    <col min="8465" max="8465" width="55.5" customWidth="1"/>
    <col min="8466" max="8466" width="4.875" customWidth="1"/>
    <col min="8467" max="8467" width="2.25" customWidth="1"/>
    <col min="8703" max="8713" width="0" hidden="1" customWidth="1"/>
    <col min="8714" max="8714" width="2" customWidth="1"/>
    <col min="8715" max="8715" width="4" customWidth="1"/>
    <col min="8716" max="8716" width="41.875" customWidth="1"/>
    <col min="8717" max="8717" width="7.25" customWidth="1"/>
    <col min="8718" max="8719" width="0" hidden="1" customWidth="1"/>
    <col min="8720" max="8720" width="4.375" customWidth="1"/>
    <col min="8721" max="8721" width="55.5" customWidth="1"/>
    <col min="8722" max="8722" width="4.875" customWidth="1"/>
    <col min="8723" max="8723" width="2.25" customWidth="1"/>
    <col min="8959" max="8969" width="0" hidden="1" customWidth="1"/>
    <col min="8970" max="8970" width="2" customWidth="1"/>
    <col min="8971" max="8971" width="4" customWidth="1"/>
    <col min="8972" max="8972" width="41.875" customWidth="1"/>
    <col min="8973" max="8973" width="7.25" customWidth="1"/>
    <col min="8974" max="8975" width="0" hidden="1" customWidth="1"/>
    <col min="8976" max="8976" width="4.375" customWidth="1"/>
    <col min="8977" max="8977" width="55.5" customWidth="1"/>
    <col min="8978" max="8978" width="4.875" customWidth="1"/>
    <col min="8979" max="8979" width="2.25" customWidth="1"/>
    <col min="9215" max="9225" width="0" hidden="1" customWidth="1"/>
    <col min="9226" max="9226" width="2" customWidth="1"/>
    <col min="9227" max="9227" width="4" customWidth="1"/>
    <col min="9228" max="9228" width="41.875" customWidth="1"/>
    <col min="9229" max="9229" width="7.25" customWidth="1"/>
    <col min="9230" max="9231" width="0" hidden="1" customWidth="1"/>
    <col min="9232" max="9232" width="4.375" customWidth="1"/>
    <col min="9233" max="9233" width="55.5" customWidth="1"/>
    <col min="9234" max="9234" width="4.875" customWidth="1"/>
    <col min="9235" max="9235" width="2.25" customWidth="1"/>
    <col min="9471" max="9481" width="0" hidden="1" customWidth="1"/>
    <col min="9482" max="9482" width="2" customWidth="1"/>
    <col min="9483" max="9483" width="4" customWidth="1"/>
    <col min="9484" max="9484" width="41.875" customWidth="1"/>
    <col min="9485" max="9485" width="7.25" customWidth="1"/>
    <col min="9486" max="9487" width="0" hidden="1" customWidth="1"/>
    <col min="9488" max="9488" width="4.375" customWidth="1"/>
    <col min="9489" max="9489" width="55.5" customWidth="1"/>
    <col min="9490" max="9490" width="4.875" customWidth="1"/>
    <col min="9491" max="9491" width="2.25" customWidth="1"/>
    <col min="9727" max="9737" width="0" hidden="1" customWidth="1"/>
    <col min="9738" max="9738" width="2" customWidth="1"/>
    <col min="9739" max="9739" width="4" customWidth="1"/>
    <col min="9740" max="9740" width="41.875" customWidth="1"/>
    <col min="9741" max="9741" width="7.25" customWidth="1"/>
    <col min="9742" max="9743" width="0" hidden="1" customWidth="1"/>
    <col min="9744" max="9744" width="4.375" customWidth="1"/>
    <col min="9745" max="9745" width="55.5" customWidth="1"/>
    <col min="9746" max="9746" width="4.875" customWidth="1"/>
    <col min="9747" max="9747" width="2.25" customWidth="1"/>
    <col min="9983" max="9993" width="0" hidden="1" customWidth="1"/>
    <col min="9994" max="9994" width="2" customWidth="1"/>
    <col min="9995" max="9995" width="4" customWidth="1"/>
    <col min="9996" max="9996" width="41.875" customWidth="1"/>
    <col min="9997" max="9997" width="7.25" customWidth="1"/>
    <col min="9998" max="9999" width="0" hidden="1" customWidth="1"/>
    <col min="10000" max="10000" width="4.375" customWidth="1"/>
    <col min="10001" max="10001" width="55.5" customWidth="1"/>
    <col min="10002" max="10002" width="4.875" customWidth="1"/>
    <col min="10003" max="10003" width="2.25" customWidth="1"/>
    <col min="10239" max="10249" width="0" hidden="1" customWidth="1"/>
    <col min="10250" max="10250" width="2" customWidth="1"/>
    <col min="10251" max="10251" width="4" customWidth="1"/>
    <col min="10252" max="10252" width="41.875" customWidth="1"/>
    <col min="10253" max="10253" width="7.25" customWidth="1"/>
    <col min="10254" max="10255" width="0" hidden="1" customWidth="1"/>
    <col min="10256" max="10256" width="4.375" customWidth="1"/>
    <col min="10257" max="10257" width="55.5" customWidth="1"/>
    <col min="10258" max="10258" width="4.875" customWidth="1"/>
    <col min="10259" max="10259" width="2.25" customWidth="1"/>
    <col min="10495" max="10505" width="0" hidden="1" customWidth="1"/>
    <col min="10506" max="10506" width="2" customWidth="1"/>
    <col min="10507" max="10507" width="4" customWidth="1"/>
    <col min="10508" max="10508" width="41.875" customWidth="1"/>
    <col min="10509" max="10509" width="7.25" customWidth="1"/>
    <col min="10510" max="10511" width="0" hidden="1" customWidth="1"/>
    <col min="10512" max="10512" width="4.375" customWidth="1"/>
    <col min="10513" max="10513" width="55.5" customWidth="1"/>
    <col min="10514" max="10514" width="4.875" customWidth="1"/>
    <col min="10515" max="10515" width="2.25" customWidth="1"/>
    <col min="10751" max="10761" width="0" hidden="1" customWidth="1"/>
    <col min="10762" max="10762" width="2" customWidth="1"/>
    <col min="10763" max="10763" width="4" customWidth="1"/>
    <col min="10764" max="10764" width="41.875" customWidth="1"/>
    <col min="10765" max="10765" width="7.25" customWidth="1"/>
    <col min="10766" max="10767" width="0" hidden="1" customWidth="1"/>
    <col min="10768" max="10768" width="4.375" customWidth="1"/>
    <col min="10769" max="10769" width="55.5" customWidth="1"/>
    <col min="10770" max="10770" width="4.875" customWidth="1"/>
    <col min="10771" max="10771" width="2.25" customWidth="1"/>
    <col min="11007" max="11017" width="0" hidden="1" customWidth="1"/>
    <col min="11018" max="11018" width="2" customWidth="1"/>
    <col min="11019" max="11019" width="4" customWidth="1"/>
    <col min="11020" max="11020" width="41.875" customWidth="1"/>
    <col min="11021" max="11021" width="7.25" customWidth="1"/>
    <col min="11022" max="11023" width="0" hidden="1" customWidth="1"/>
    <col min="11024" max="11024" width="4.375" customWidth="1"/>
    <col min="11025" max="11025" width="55.5" customWidth="1"/>
    <col min="11026" max="11026" width="4.875" customWidth="1"/>
    <col min="11027" max="11027" width="2.25" customWidth="1"/>
    <col min="11263" max="11273" width="0" hidden="1" customWidth="1"/>
    <col min="11274" max="11274" width="2" customWidth="1"/>
    <col min="11275" max="11275" width="4" customWidth="1"/>
    <col min="11276" max="11276" width="41.875" customWidth="1"/>
    <col min="11277" max="11277" width="7.25" customWidth="1"/>
    <col min="11278" max="11279" width="0" hidden="1" customWidth="1"/>
    <col min="11280" max="11280" width="4.375" customWidth="1"/>
    <col min="11281" max="11281" width="55.5" customWidth="1"/>
    <col min="11282" max="11282" width="4.875" customWidth="1"/>
    <col min="11283" max="11283" width="2.25" customWidth="1"/>
    <col min="11519" max="11529" width="0" hidden="1" customWidth="1"/>
    <col min="11530" max="11530" width="2" customWidth="1"/>
    <col min="11531" max="11531" width="4" customWidth="1"/>
    <col min="11532" max="11532" width="41.875" customWidth="1"/>
    <col min="11533" max="11533" width="7.25" customWidth="1"/>
    <col min="11534" max="11535" width="0" hidden="1" customWidth="1"/>
    <col min="11536" max="11536" width="4.375" customWidth="1"/>
    <col min="11537" max="11537" width="55.5" customWidth="1"/>
    <col min="11538" max="11538" width="4.875" customWidth="1"/>
    <col min="11539" max="11539" width="2.25" customWidth="1"/>
    <col min="11775" max="11785" width="0" hidden="1" customWidth="1"/>
    <col min="11786" max="11786" width="2" customWidth="1"/>
    <col min="11787" max="11787" width="4" customWidth="1"/>
    <col min="11788" max="11788" width="41.875" customWidth="1"/>
    <col min="11789" max="11789" width="7.25" customWidth="1"/>
    <col min="11790" max="11791" width="0" hidden="1" customWidth="1"/>
    <col min="11792" max="11792" width="4.375" customWidth="1"/>
    <col min="11793" max="11793" width="55.5" customWidth="1"/>
    <col min="11794" max="11794" width="4.875" customWidth="1"/>
    <col min="11795" max="11795" width="2.25" customWidth="1"/>
    <col min="12031" max="12041" width="0" hidden="1" customWidth="1"/>
    <col min="12042" max="12042" width="2" customWidth="1"/>
    <col min="12043" max="12043" width="4" customWidth="1"/>
    <col min="12044" max="12044" width="41.875" customWidth="1"/>
    <col min="12045" max="12045" width="7.25" customWidth="1"/>
    <col min="12046" max="12047" width="0" hidden="1" customWidth="1"/>
    <col min="12048" max="12048" width="4.375" customWidth="1"/>
    <col min="12049" max="12049" width="55.5" customWidth="1"/>
    <col min="12050" max="12050" width="4.875" customWidth="1"/>
    <col min="12051" max="12051" width="2.25" customWidth="1"/>
    <col min="12287" max="12297" width="0" hidden="1" customWidth="1"/>
    <col min="12298" max="12298" width="2" customWidth="1"/>
    <col min="12299" max="12299" width="4" customWidth="1"/>
    <col min="12300" max="12300" width="41.875" customWidth="1"/>
    <col min="12301" max="12301" width="7.25" customWidth="1"/>
    <col min="12302" max="12303" width="0" hidden="1" customWidth="1"/>
    <col min="12304" max="12304" width="4.375" customWidth="1"/>
    <col min="12305" max="12305" width="55.5" customWidth="1"/>
    <col min="12306" max="12306" width="4.875" customWidth="1"/>
    <col min="12307" max="12307" width="2.25" customWidth="1"/>
    <col min="12543" max="12553" width="0" hidden="1" customWidth="1"/>
    <col min="12554" max="12554" width="2" customWidth="1"/>
    <col min="12555" max="12555" width="4" customWidth="1"/>
    <col min="12556" max="12556" width="41.875" customWidth="1"/>
    <col min="12557" max="12557" width="7.25" customWidth="1"/>
    <col min="12558" max="12559" width="0" hidden="1" customWidth="1"/>
    <col min="12560" max="12560" width="4.375" customWidth="1"/>
    <col min="12561" max="12561" width="55.5" customWidth="1"/>
    <col min="12562" max="12562" width="4.875" customWidth="1"/>
    <col min="12563" max="12563" width="2.25" customWidth="1"/>
    <col min="12799" max="12809" width="0" hidden="1" customWidth="1"/>
    <col min="12810" max="12810" width="2" customWidth="1"/>
    <col min="12811" max="12811" width="4" customWidth="1"/>
    <col min="12812" max="12812" width="41.875" customWidth="1"/>
    <col min="12813" max="12813" width="7.25" customWidth="1"/>
    <col min="12814" max="12815" width="0" hidden="1" customWidth="1"/>
    <col min="12816" max="12816" width="4.375" customWidth="1"/>
    <col min="12817" max="12817" width="55.5" customWidth="1"/>
    <col min="12818" max="12818" width="4.875" customWidth="1"/>
    <col min="12819" max="12819" width="2.25" customWidth="1"/>
    <col min="13055" max="13065" width="0" hidden="1" customWidth="1"/>
    <col min="13066" max="13066" width="2" customWidth="1"/>
    <col min="13067" max="13067" width="4" customWidth="1"/>
    <col min="13068" max="13068" width="41.875" customWidth="1"/>
    <col min="13069" max="13069" width="7.25" customWidth="1"/>
    <col min="13070" max="13071" width="0" hidden="1" customWidth="1"/>
    <col min="13072" max="13072" width="4.375" customWidth="1"/>
    <col min="13073" max="13073" width="55.5" customWidth="1"/>
    <col min="13074" max="13074" width="4.875" customWidth="1"/>
    <col min="13075" max="13075" width="2.25" customWidth="1"/>
    <col min="13311" max="13321" width="0" hidden="1" customWidth="1"/>
    <col min="13322" max="13322" width="2" customWidth="1"/>
    <col min="13323" max="13323" width="4" customWidth="1"/>
    <col min="13324" max="13324" width="41.875" customWidth="1"/>
    <col min="13325" max="13325" width="7.25" customWidth="1"/>
    <col min="13326" max="13327" width="0" hidden="1" customWidth="1"/>
    <col min="13328" max="13328" width="4.375" customWidth="1"/>
    <col min="13329" max="13329" width="55.5" customWidth="1"/>
    <col min="13330" max="13330" width="4.875" customWidth="1"/>
    <col min="13331" max="13331" width="2.25" customWidth="1"/>
    <col min="13567" max="13577" width="0" hidden="1" customWidth="1"/>
    <col min="13578" max="13578" width="2" customWidth="1"/>
    <col min="13579" max="13579" width="4" customWidth="1"/>
    <col min="13580" max="13580" width="41.875" customWidth="1"/>
    <col min="13581" max="13581" width="7.25" customWidth="1"/>
    <col min="13582" max="13583" width="0" hidden="1" customWidth="1"/>
    <col min="13584" max="13584" width="4.375" customWidth="1"/>
    <col min="13585" max="13585" width="55.5" customWidth="1"/>
    <col min="13586" max="13586" width="4.875" customWidth="1"/>
    <col min="13587" max="13587" width="2.25" customWidth="1"/>
    <col min="13823" max="13833" width="0" hidden="1" customWidth="1"/>
    <col min="13834" max="13834" width="2" customWidth="1"/>
    <col min="13835" max="13835" width="4" customWidth="1"/>
    <col min="13836" max="13836" width="41.875" customWidth="1"/>
    <col min="13837" max="13837" width="7.25" customWidth="1"/>
    <col min="13838" max="13839" width="0" hidden="1" customWidth="1"/>
    <col min="13840" max="13840" width="4.375" customWidth="1"/>
    <col min="13841" max="13841" width="55.5" customWidth="1"/>
    <col min="13842" max="13842" width="4.875" customWidth="1"/>
    <col min="13843" max="13843" width="2.25" customWidth="1"/>
    <col min="14079" max="14089" width="0" hidden="1" customWidth="1"/>
    <col min="14090" max="14090" width="2" customWidth="1"/>
    <col min="14091" max="14091" width="4" customWidth="1"/>
    <col min="14092" max="14092" width="41.875" customWidth="1"/>
    <col min="14093" max="14093" width="7.25" customWidth="1"/>
    <col min="14094" max="14095" width="0" hidden="1" customWidth="1"/>
    <col min="14096" max="14096" width="4.375" customWidth="1"/>
    <col min="14097" max="14097" width="55.5" customWidth="1"/>
    <col min="14098" max="14098" width="4.875" customWidth="1"/>
    <col min="14099" max="14099" width="2.25" customWidth="1"/>
    <col min="14335" max="14345" width="0" hidden="1" customWidth="1"/>
    <col min="14346" max="14346" width="2" customWidth="1"/>
    <col min="14347" max="14347" width="4" customWidth="1"/>
    <col min="14348" max="14348" width="41.875" customWidth="1"/>
    <col min="14349" max="14349" width="7.25" customWidth="1"/>
    <col min="14350" max="14351" width="0" hidden="1" customWidth="1"/>
    <col min="14352" max="14352" width="4.375" customWidth="1"/>
    <col min="14353" max="14353" width="55.5" customWidth="1"/>
    <col min="14354" max="14354" width="4.875" customWidth="1"/>
    <col min="14355" max="14355" width="2.25" customWidth="1"/>
    <col min="14591" max="14601" width="0" hidden="1" customWidth="1"/>
    <col min="14602" max="14602" width="2" customWidth="1"/>
    <col min="14603" max="14603" width="4" customWidth="1"/>
    <col min="14604" max="14604" width="41.875" customWidth="1"/>
    <col min="14605" max="14605" width="7.25" customWidth="1"/>
    <col min="14606" max="14607" width="0" hidden="1" customWidth="1"/>
    <col min="14608" max="14608" width="4.375" customWidth="1"/>
    <col min="14609" max="14609" width="55.5" customWidth="1"/>
    <col min="14610" max="14610" width="4.875" customWidth="1"/>
    <col min="14611" max="14611" width="2.25" customWidth="1"/>
    <col min="14847" max="14857" width="0" hidden="1" customWidth="1"/>
    <col min="14858" max="14858" width="2" customWidth="1"/>
    <col min="14859" max="14859" width="4" customWidth="1"/>
    <col min="14860" max="14860" width="41.875" customWidth="1"/>
    <col min="14861" max="14861" width="7.25" customWidth="1"/>
    <col min="14862" max="14863" width="0" hidden="1" customWidth="1"/>
    <col min="14864" max="14864" width="4.375" customWidth="1"/>
    <col min="14865" max="14865" width="55.5" customWidth="1"/>
    <col min="14866" max="14866" width="4.875" customWidth="1"/>
    <col min="14867" max="14867" width="2.25" customWidth="1"/>
    <col min="15103" max="15113" width="0" hidden="1" customWidth="1"/>
    <col min="15114" max="15114" width="2" customWidth="1"/>
    <col min="15115" max="15115" width="4" customWidth="1"/>
    <col min="15116" max="15116" width="41.875" customWidth="1"/>
    <col min="15117" max="15117" width="7.25" customWidth="1"/>
    <col min="15118" max="15119" width="0" hidden="1" customWidth="1"/>
    <col min="15120" max="15120" width="4.375" customWidth="1"/>
    <col min="15121" max="15121" width="55.5" customWidth="1"/>
    <col min="15122" max="15122" width="4.875" customWidth="1"/>
    <col min="15123" max="15123" width="2.25" customWidth="1"/>
    <col min="15359" max="15369" width="0" hidden="1" customWidth="1"/>
    <col min="15370" max="15370" width="2" customWidth="1"/>
    <col min="15371" max="15371" width="4" customWidth="1"/>
    <col min="15372" max="15372" width="41.875" customWidth="1"/>
    <col min="15373" max="15373" width="7.25" customWidth="1"/>
    <col min="15374" max="15375" width="0" hidden="1" customWidth="1"/>
    <col min="15376" max="15376" width="4.375" customWidth="1"/>
    <col min="15377" max="15377" width="55.5" customWidth="1"/>
    <col min="15378" max="15378" width="4.875" customWidth="1"/>
    <col min="15379" max="15379" width="2.25" customWidth="1"/>
    <col min="15615" max="15625" width="0" hidden="1" customWidth="1"/>
    <col min="15626" max="15626" width="2" customWidth="1"/>
    <col min="15627" max="15627" width="4" customWidth="1"/>
    <col min="15628" max="15628" width="41.875" customWidth="1"/>
    <col min="15629" max="15629" width="7.25" customWidth="1"/>
    <col min="15630" max="15631" width="0" hidden="1" customWidth="1"/>
    <col min="15632" max="15632" width="4.375" customWidth="1"/>
    <col min="15633" max="15633" width="55.5" customWidth="1"/>
    <col min="15634" max="15634" width="4.875" customWidth="1"/>
    <col min="15635" max="15635" width="2.25" customWidth="1"/>
    <col min="15871" max="15881" width="0" hidden="1" customWidth="1"/>
    <col min="15882" max="15882" width="2" customWidth="1"/>
    <col min="15883" max="15883" width="4" customWidth="1"/>
    <col min="15884" max="15884" width="41.875" customWidth="1"/>
    <col min="15885" max="15885" width="7.25" customWidth="1"/>
    <col min="15886" max="15887" width="0" hidden="1" customWidth="1"/>
    <col min="15888" max="15888" width="4.375" customWidth="1"/>
    <col min="15889" max="15889" width="55.5" customWidth="1"/>
    <col min="15890" max="15890" width="4.875" customWidth="1"/>
    <col min="15891" max="15891" width="2.25" customWidth="1"/>
    <col min="16127" max="16137" width="0" hidden="1" customWidth="1"/>
    <col min="16138" max="16138" width="2" customWidth="1"/>
    <col min="16139" max="16139" width="4" customWidth="1"/>
    <col min="16140" max="16140" width="41.875" customWidth="1"/>
    <col min="16141" max="16141" width="7.25" customWidth="1"/>
    <col min="16142" max="16143" width="0" hidden="1" customWidth="1"/>
    <col min="16144" max="16144" width="4.375" customWidth="1"/>
    <col min="16145" max="16145" width="55.5" customWidth="1"/>
    <col min="16146" max="16146" width="4.875" customWidth="1"/>
    <col min="16147" max="16147" width="2.25" customWidth="1"/>
  </cols>
  <sheetData>
    <row r="1" spans="12:19" x14ac:dyDescent="0.3">
      <c r="L1" s="515" t="s">
        <v>464</v>
      </c>
    </row>
    <row r="3" spans="12:19" x14ac:dyDescent="0.3">
      <c r="L3" s="640" t="s">
        <v>583</v>
      </c>
      <c r="M3" s="640"/>
      <c r="N3" s="640"/>
      <c r="O3" s="640"/>
      <c r="P3" s="640"/>
      <c r="Q3" s="640"/>
      <c r="R3" s="640"/>
      <c r="S3" s="467"/>
    </row>
    <row r="4" spans="12:19" x14ac:dyDescent="0.3">
      <c r="M4" s="469"/>
      <c r="N4" s="476" t="s">
        <v>572</v>
      </c>
      <c r="O4" s="470" t="s">
        <v>602</v>
      </c>
      <c r="P4" s="470" t="s">
        <v>643</v>
      </c>
      <c r="Q4" s="470" t="s">
        <v>644</v>
      </c>
    </row>
    <row r="6" spans="12:19" x14ac:dyDescent="0.3">
      <c r="L6" s="467" t="s">
        <v>573</v>
      </c>
      <c r="M6" s="471" t="s">
        <v>628</v>
      </c>
      <c r="N6" s="475"/>
      <c r="Q6" s="472" t="s">
        <v>578</v>
      </c>
      <c r="R6" s="468" t="s">
        <v>635</v>
      </c>
    </row>
    <row r="7" spans="12:19" x14ac:dyDescent="0.3">
      <c r="M7" s="471" t="s">
        <v>595</v>
      </c>
      <c r="N7" s="473">
        <v>27</v>
      </c>
      <c r="R7" s="461" t="s">
        <v>591</v>
      </c>
      <c r="S7" s="465">
        <v>32</v>
      </c>
    </row>
    <row r="8" spans="12:19" x14ac:dyDescent="0.3">
      <c r="M8" s="468" t="s">
        <v>596</v>
      </c>
      <c r="N8" s="473">
        <v>28</v>
      </c>
      <c r="R8" s="461" t="s">
        <v>592</v>
      </c>
      <c r="S8" s="465">
        <v>46</v>
      </c>
    </row>
    <row r="9" spans="12:19" x14ac:dyDescent="0.3">
      <c r="M9" s="468" t="s">
        <v>597</v>
      </c>
      <c r="N9" s="473">
        <v>25</v>
      </c>
      <c r="R9" s="461" t="s">
        <v>636</v>
      </c>
      <c r="S9" s="465">
        <v>6</v>
      </c>
    </row>
    <row r="10" spans="12:19" x14ac:dyDescent="0.3">
      <c r="M10" s="468" t="s">
        <v>598</v>
      </c>
      <c r="N10" s="473">
        <v>5</v>
      </c>
      <c r="R10" s="461" t="s">
        <v>593</v>
      </c>
      <c r="S10" s="465">
        <v>16</v>
      </c>
    </row>
    <row r="11" spans="12:19" x14ac:dyDescent="0.3">
      <c r="M11" s="468" t="s">
        <v>599</v>
      </c>
      <c r="N11" s="473">
        <v>5</v>
      </c>
      <c r="R11" s="461" t="s">
        <v>637</v>
      </c>
      <c r="S11" s="466">
        <v>5</v>
      </c>
    </row>
    <row r="12" spans="12:19" x14ac:dyDescent="0.3">
      <c r="M12" s="468" t="s">
        <v>600</v>
      </c>
      <c r="N12" s="473">
        <v>4</v>
      </c>
    </row>
    <row r="13" spans="12:19" ht="30" x14ac:dyDescent="0.3">
      <c r="M13" s="468" t="s">
        <v>601</v>
      </c>
      <c r="N13" s="473">
        <v>3</v>
      </c>
      <c r="Q13" s="467" t="s">
        <v>580</v>
      </c>
      <c r="R13" s="471" t="s">
        <v>610</v>
      </c>
      <c r="S13" s="475"/>
    </row>
    <row r="14" spans="12:19" ht="27.75" customHeight="1" x14ac:dyDescent="0.3">
      <c r="M14" s="468" t="s">
        <v>604</v>
      </c>
      <c r="N14" s="473">
        <v>2</v>
      </c>
      <c r="R14" s="468" t="s">
        <v>611</v>
      </c>
      <c r="S14" s="465">
        <v>2</v>
      </c>
    </row>
    <row r="15" spans="12:19" x14ac:dyDescent="0.3">
      <c r="R15" s="468" t="s">
        <v>612</v>
      </c>
      <c r="S15" s="465">
        <v>8</v>
      </c>
    </row>
    <row r="16" spans="12:19" ht="30" x14ac:dyDescent="0.3">
      <c r="L16" s="467" t="s">
        <v>577</v>
      </c>
      <c r="M16" s="471" t="s">
        <v>606</v>
      </c>
      <c r="N16" s="475"/>
      <c r="R16" s="468" t="s">
        <v>613</v>
      </c>
      <c r="S16" s="465">
        <v>10</v>
      </c>
    </row>
    <row r="17" spans="12:19" x14ac:dyDescent="0.3">
      <c r="M17" s="468" t="s">
        <v>575</v>
      </c>
      <c r="N17" s="465">
        <v>92</v>
      </c>
      <c r="R17" s="468" t="s">
        <v>614</v>
      </c>
      <c r="S17" s="465">
        <v>32</v>
      </c>
    </row>
    <row r="18" spans="12:19" x14ac:dyDescent="0.3">
      <c r="M18" s="468" t="s">
        <v>576</v>
      </c>
      <c r="N18" s="465">
        <v>8</v>
      </c>
      <c r="R18" s="468" t="s">
        <v>615</v>
      </c>
      <c r="S18" s="465">
        <v>48</v>
      </c>
    </row>
    <row r="20" spans="12:19" ht="30" x14ac:dyDescent="0.3">
      <c r="L20" s="467" t="s">
        <v>579</v>
      </c>
      <c r="M20" s="471" t="s">
        <v>605</v>
      </c>
      <c r="N20" s="475"/>
      <c r="Q20" s="467" t="s">
        <v>582</v>
      </c>
      <c r="R20" s="471" t="s">
        <v>616</v>
      </c>
      <c r="S20" s="475"/>
    </row>
    <row r="21" spans="12:19" x14ac:dyDescent="0.3">
      <c r="L21" s="467"/>
      <c r="M21" s="468" t="s">
        <v>607</v>
      </c>
      <c r="N21" s="465">
        <v>45</v>
      </c>
      <c r="R21" s="468" t="s">
        <v>617</v>
      </c>
      <c r="S21" s="465">
        <v>32</v>
      </c>
    </row>
    <row r="22" spans="12:19" x14ac:dyDescent="0.3">
      <c r="M22" s="468" t="s">
        <v>584</v>
      </c>
      <c r="N22" s="465">
        <v>43</v>
      </c>
      <c r="R22" s="468" t="s">
        <v>618</v>
      </c>
      <c r="S22" s="465">
        <v>20</v>
      </c>
    </row>
    <row r="23" spans="12:19" x14ac:dyDescent="0.3">
      <c r="M23" s="468" t="s">
        <v>585</v>
      </c>
      <c r="N23" s="465">
        <v>12</v>
      </c>
      <c r="R23" s="468" t="s">
        <v>619</v>
      </c>
      <c r="S23" s="465">
        <v>15</v>
      </c>
    </row>
    <row r="24" spans="12:19" x14ac:dyDescent="0.3">
      <c r="R24" s="468" t="s">
        <v>623</v>
      </c>
      <c r="S24" s="465">
        <v>18</v>
      </c>
    </row>
    <row r="25" spans="12:19" ht="38.25" customHeight="1" x14ac:dyDescent="0.3">
      <c r="L25" s="467" t="s">
        <v>581</v>
      </c>
      <c r="M25" s="471" t="s">
        <v>608</v>
      </c>
      <c r="R25" s="468" t="s">
        <v>620</v>
      </c>
      <c r="S25" s="465">
        <v>4</v>
      </c>
    </row>
    <row r="26" spans="12:19" x14ac:dyDescent="0.3">
      <c r="M26" s="468" t="s">
        <v>586</v>
      </c>
      <c r="N26" s="465">
        <v>15</v>
      </c>
      <c r="Q26" s="467"/>
      <c r="R26" s="468" t="s">
        <v>621</v>
      </c>
      <c r="S26" s="465">
        <v>8</v>
      </c>
    </row>
    <row r="27" spans="12:19" x14ac:dyDescent="0.3">
      <c r="M27" s="468" t="s">
        <v>587</v>
      </c>
      <c r="N27" s="465">
        <v>35</v>
      </c>
      <c r="R27" s="468" t="s">
        <v>622</v>
      </c>
      <c r="S27" s="465">
        <v>3</v>
      </c>
    </row>
    <row r="28" spans="12:19" x14ac:dyDescent="0.3">
      <c r="M28" s="468" t="s">
        <v>588</v>
      </c>
      <c r="N28" s="465">
        <v>45</v>
      </c>
    </row>
    <row r="29" spans="12:19" ht="30" x14ac:dyDescent="0.3">
      <c r="M29" s="468" t="s">
        <v>638</v>
      </c>
      <c r="N29" s="465">
        <v>5</v>
      </c>
      <c r="Q29" s="472" t="s">
        <v>633</v>
      </c>
      <c r="R29" s="471" t="s">
        <v>629</v>
      </c>
      <c r="S29" s="475"/>
    </row>
    <row r="30" spans="12:19" x14ac:dyDescent="0.3">
      <c r="Q30" s="467"/>
      <c r="R30" s="471" t="s">
        <v>630</v>
      </c>
      <c r="S30" s="465">
        <v>52</v>
      </c>
    </row>
    <row r="31" spans="12:19" ht="30" x14ac:dyDescent="0.3">
      <c r="L31" s="474" t="s">
        <v>574</v>
      </c>
      <c r="M31" s="471" t="s">
        <v>645</v>
      </c>
      <c r="R31" s="468" t="s">
        <v>589</v>
      </c>
      <c r="S31" s="465">
        <v>28</v>
      </c>
    </row>
    <row r="32" spans="12:19" x14ac:dyDescent="0.3">
      <c r="M32" s="471" t="s">
        <v>625</v>
      </c>
      <c r="N32" s="465">
        <v>5</v>
      </c>
      <c r="R32" s="468" t="s">
        <v>590</v>
      </c>
      <c r="S32" s="465">
        <v>5</v>
      </c>
    </row>
    <row r="33" spans="13:19" x14ac:dyDescent="0.3">
      <c r="M33" s="468" t="s">
        <v>626</v>
      </c>
      <c r="N33" s="465">
        <v>48</v>
      </c>
      <c r="R33" s="468" t="s">
        <v>631</v>
      </c>
      <c r="S33" s="465">
        <v>15</v>
      </c>
    </row>
    <row r="34" spans="13:19" x14ac:dyDescent="0.3">
      <c r="M34" s="468" t="s">
        <v>627</v>
      </c>
      <c r="N34" s="465">
        <v>35</v>
      </c>
    </row>
    <row r="35" spans="13:19" ht="30" x14ac:dyDescent="0.3">
      <c r="M35" s="468" t="s">
        <v>624</v>
      </c>
      <c r="N35" s="465">
        <v>12</v>
      </c>
      <c r="Q35" s="472" t="s">
        <v>634</v>
      </c>
      <c r="R35" s="471" t="s">
        <v>646</v>
      </c>
      <c r="S35" s="475"/>
    </row>
    <row r="36" spans="13:19" x14ac:dyDescent="0.3">
      <c r="R36" s="468" t="s">
        <v>575</v>
      </c>
      <c r="S36" s="465">
        <v>98</v>
      </c>
    </row>
    <row r="37" spans="13:19" x14ac:dyDescent="0.3">
      <c r="R37" s="468" t="s">
        <v>576</v>
      </c>
      <c r="S37" s="465">
        <v>2</v>
      </c>
    </row>
    <row r="59" spans="17:17" x14ac:dyDescent="0.3">
      <c r="Q59" s="472"/>
    </row>
    <row r="60" spans="17:17" x14ac:dyDescent="0.3">
      <c r="Q60" s="467"/>
    </row>
  </sheetData>
  <mergeCells count="1">
    <mergeCell ref="L3:R3"/>
  </mergeCells>
  <hyperlinks>
    <hyperlink ref="L1" location="INDICE!A1" display="INDICE"/>
  </hyperlink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6321" r:id="rId4" name="Check Box 1">
              <controlPr defaultSize="0" autoFill="0" autoLine="0" autoPict="0">
                <anchor moveWithCells="1">
                  <from>
                    <xdr:col>19</xdr:col>
                    <xdr:colOff>0</xdr:colOff>
                    <xdr:row>10</xdr:row>
                    <xdr:rowOff>0</xdr:rowOff>
                  </from>
                  <to>
                    <xdr:col>20</xdr:col>
                    <xdr:colOff>219075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2" r:id="rId5" name="Check Box 2">
              <controlPr defaultSize="0" autoFill="0" autoLine="0" autoPict="0">
                <anchor moveWithCells="1">
                  <from>
                    <xdr:col>19</xdr:col>
                    <xdr:colOff>0</xdr:colOff>
                    <xdr:row>10</xdr:row>
                    <xdr:rowOff>0</xdr:rowOff>
                  </from>
                  <to>
                    <xdr:col>20</xdr:col>
                    <xdr:colOff>219075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</sheetPr>
  <dimension ref="A1:Z68"/>
  <sheetViews>
    <sheetView showGridLines="0" zoomScale="50" zoomScaleNormal="50" workbookViewId="0">
      <selection activeCell="AL22" sqref="AL22"/>
    </sheetView>
  </sheetViews>
  <sheetFormatPr baseColWidth="10" defaultRowHeight="16.5" x14ac:dyDescent="0.3"/>
  <cols>
    <col min="5" max="37" width="3.875" customWidth="1"/>
    <col min="261" max="293" width="3.875" customWidth="1"/>
    <col min="517" max="549" width="3.875" customWidth="1"/>
    <col min="773" max="805" width="3.875" customWidth="1"/>
    <col min="1029" max="1061" width="3.875" customWidth="1"/>
    <col min="1285" max="1317" width="3.875" customWidth="1"/>
    <col min="1541" max="1573" width="3.875" customWidth="1"/>
    <col min="1797" max="1829" width="3.875" customWidth="1"/>
    <col min="2053" max="2085" width="3.875" customWidth="1"/>
    <col min="2309" max="2341" width="3.875" customWidth="1"/>
    <col min="2565" max="2597" width="3.875" customWidth="1"/>
    <col min="2821" max="2853" width="3.875" customWidth="1"/>
    <col min="3077" max="3109" width="3.875" customWidth="1"/>
    <col min="3333" max="3365" width="3.875" customWidth="1"/>
    <col min="3589" max="3621" width="3.875" customWidth="1"/>
    <col min="3845" max="3877" width="3.875" customWidth="1"/>
    <col min="4101" max="4133" width="3.875" customWidth="1"/>
    <col min="4357" max="4389" width="3.875" customWidth="1"/>
    <col min="4613" max="4645" width="3.875" customWidth="1"/>
    <col min="4869" max="4901" width="3.875" customWidth="1"/>
    <col min="5125" max="5157" width="3.875" customWidth="1"/>
    <col min="5381" max="5413" width="3.875" customWidth="1"/>
    <col min="5637" max="5669" width="3.875" customWidth="1"/>
    <col min="5893" max="5925" width="3.875" customWidth="1"/>
    <col min="6149" max="6181" width="3.875" customWidth="1"/>
    <col min="6405" max="6437" width="3.875" customWidth="1"/>
    <col min="6661" max="6693" width="3.875" customWidth="1"/>
    <col min="6917" max="6949" width="3.875" customWidth="1"/>
    <col min="7173" max="7205" width="3.875" customWidth="1"/>
    <col min="7429" max="7461" width="3.875" customWidth="1"/>
    <col min="7685" max="7717" width="3.875" customWidth="1"/>
    <col min="7941" max="7973" width="3.875" customWidth="1"/>
    <col min="8197" max="8229" width="3.875" customWidth="1"/>
    <col min="8453" max="8485" width="3.875" customWidth="1"/>
    <col min="8709" max="8741" width="3.875" customWidth="1"/>
    <col min="8965" max="8997" width="3.875" customWidth="1"/>
    <col min="9221" max="9253" width="3.875" customWidth="1"/>
    <col min="9477" max="9509" width="3.875" customWidth="1"/>
    <col min="9733" max="9765" width="3.875" customWidth="1"/>
    <col min="9989" max="10021" width="3.875" customWidth="1"/>
    <col min="10245" max="10277" width="3.875" customWidth="1"/>
    <col min="10501" max="10533" width="3.875" customWidth="1"/>
    <col min="10757" max="10789" width="3.875" customWidth="1"/>
    <col min="11013" max="11045" width="3.875" customWidth="1"/>
    <col min="11269" max="11301" width="3.875" customWidth="1"/>
    <col min="11525" max="11557" width="3.875" customWidth="1"/>
    <col min="11781" max="11813" width="3.875" customWidth="1"/>
    <col min="12037" max="12069" width="3.875" customWidth="1"/>
    <col min="12293" max="12325" width="3.875" customWidth="1"/>
    <col min="12549" max="12581" width="3.875" customWidth="1"/>
    <col min="12805" max="12837" width="3.875" customWidth="1"/>
    <col min="13061" max="13093" width="3.875" customWidth="1"/>
    <col min="13317" max="13349" width="3.875" customWidth="1"/>
    <col min="13573" max="13605" width="3.875" customWidth="1"/>
    <col min="13829" max="13861" width="3.875" customWidth="1"/>
    <col min="14085" max="14117" width="3.875" customWidth="1"/>
    <col min="14341" max="14373" width="3.875" customWidth="1"/>
    <col min="14597" max="14629" width="3.875" customWidth="1"/>
    <col min="14853" max="14885" width="3.875" customWidth="1"/>
    <col min="15109" max="15141" width="3.875" customWidth="1"/>
    <col min="15365" max="15397" width="3.875" customWidth="1"/>
    <col min="15621" max="15653" width="3.875" customWidth="1"/>
    <col min="15877" max="15909" width="3.875" customWidth="1"/>
    <col min="16133" max="16165" width="3.875" customWidth="1"/>
  </cols>
  <sheetData>
    <row r="1" spans="1:24" x14ac:dyDescent="0.3">
      <c r="A1" s="512" t="s">
        <v>464</v>
      </c>
    </row>
    <row r="5" spans="1:24" x14ac:dyDescent="0.3">
      <c r="N5" t="s">
        <v>650</v>
      </c>
    </row>
    <row r="8" spans="1:24" x14ac:dyDescent="0.3">
      <c r="E8" s="497"/>
      <c r="F8" s="498"/>
      <c r="G8" s="498"/>
      <c r="H8" s="498"/>
      <c r="I8" s="498"/>
      <c r="J8" s="499"/>
      <c r="K8" s="498"/>
      <c r="L8" s="498"/>
      <c r="M8" s="497"/>
      <c r="N8" s="500"/>
      <c r="O8" s="497"/>
      <c r="P8" s="500"/>
      <c r="Q8" s="498"/>
      <c r="R8" s="498"/>
      <c r="S8" s="499"/>
      <c r="T8" s="498"/>
      <c r="U8" s="498"/>
      <c r="V8" s="498"/>
      <c r="W8" s="498"/>
      <c r="X8" s="500"/>
    </row>
    <row r="9" spans="1:24" x14ac:dyDescent="0.3">
      <c r="E9" s="501"/>
      <c r="F9" s="417"/>
      <c r="G9" s="417"/>
      <c r="H9" s="417"/>
      <c r="I9" s="417"/>
      <c r="J9" s="502"/>
      <c r="K9" s="503"/>
      <c r="L9" s="503"/>
      <c r="M9" s="504"/>
      <c r="N9" s="505"/>
      <c r="O9" s="504"/>
      <c r="P9" s="505"/>
      <c r="Q9" s="503"/>
      <c r="R9" s="503"/>
      <c r="S9" s="502"/>
      <c r="T9" s="417"/>
      <c r="U9" s="417"/>
      <c r="V9" s="417"/>
      <c r="W9" s="417"/>
      <c r="X9" s="506"/>
    </row>
    <row r="10" spans="1:24" x14ac:dyDescent="0.3">
      <c r="E10" s="501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506"/>
    </row>
    <row r="11" spans="1:24" x14ac:dyDescent="0.3">
      <c r="E11" s="501"/>
      <c r="F11" s="417"/>
      <c r="G11" s="417"/>
      <c r="H11" s="417"/>
      <c r="I11" s="417"/>
      <c r="J11" s="417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506"/>
    </row>
    <row r="12" spans="1:24" x14ac:dyDescent="0.3">
      <c r="E12" s="501"/>
      <c r="F12" s="417"/>
      <c r="G12" s="417"/>
      <c r="H12" s="417"/>
      <c r="I12" s="417"/>
      <c r="J12" s="417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506"/>
    </row>
    <row r="13" spans="1:24" x14ac:dyDescent="0.3">
      <c r="E13" s="501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417"/>
      <c r="V13" s="417"/>
      <c r="W13" s="417"/>
      <c r="X13" s="506"/>
    </row>
    <row r="14" spans="1:24" x14ac:dyDescent="0.3">
      <c r="E14" s="501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417"/>
      <c r="T14" s="417"/>
      <c r="U14" s="417"/>
      <c r="V14" s="417"/>
      <c r="W14" s="417"/>
      <c r="X14" s="506"/>
    </row>
    <row r="15" spans="1:24" x14ac:dyDescent="0.3">
      <c r="E15" s="501"/>
      <c r="F15" s="417"/>
      <c r="G15" s="417"/>
      <c r="H15" s="417"/>
      <c r="I15" s="417"/>
      <c r="J15" s="417"/>
      <c r="K15" s="417"/>
      <c r="L15" s="417"/>
      <c r="M15" s="417"/>
      <c r="N15" s="417"/>
      <c r="O15" s="417"/>
      <c r="P15" s="417"/>
      <c r="Q15" s="417"/>
      <c r="R15" s="417"/>
      <c r="S15" s="417"/>
      <c r="T15" s="417"/>
      <c r="U15" s="417"/>
      <c r="V15" s="417"/>
      <c r="W15" s="417"/>
      <c r="X15" s="506"/>
    </row>
    <row r="16" spans="1:24" x14ac:dyDescent="0.3">
      <c r="E16" s="501"/>
      <c r="F16" s="417"/>
      <c r="G16" s="417"/>
      <c r="H16" s="417"/>
      <c r="I16" s="417"/>
      <c r="J16" s="417"/>
      <c r="K16" s="417"/>
      <c r="L16" s="417"/>
      <c r="M16" s="417"/>
      <c r="N16" s="417"/>
      <c r="O16" s="417"/>
      <c r="P16" s="417"/>
      <c r="Q16" s="417"/>
      <c r="R16" s="417"/>
      <c r="S16" s="417"/>
      <c r="T16" s="417"/>
      <c r="U16" s="417"/>
      <c r="V16" s="417"/>
      <c r="W16" s="417"/>
      <c r="X16" s="506"/>
    </row>
    <row r="17" spans="5:26" x14ac:dyDescent="0.3">
      <c r="E17" s="501"/>
      <c r="F17" s="417"/>
      <c r="G17" s="417"/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17"/>
      <c r="V17" s="417"/>
      <c r="W17" s="417"/>
      <c r="X17" s="506"/>
    </row>
    <row r="18" spans="5:26" x14ac:dyDescent="0.3">
      <c r="E18" s="501"/>
      <c r="F18" s="417"/>
      <c r="G18" s="417"/>
      <c r="H18" s="417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17"/>
      <c r="T18" s="417"/>
      <c r="U18" s="417"/>
      <c r="V18" s="417"/>
      <c r="W18" s="417"/>
      <c r="X18" s="506"/>
    </row>
    <row r="19" spans="5:26" x14ac:dyDescent="0.3">
      <c r="E19" s="501"/>
      <c r="F19" s="417"/>
      <c r="G19" s="417"/>
      <c r="H19" s="417"/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17"/>
      <c r="T19" s="417"/>
      <c r="U19" s="417"/>
      <c r="V19" s="417"/>
      <c r="W19" s="417"/>
      <c r="X19" s="506"/>
    </row>
    <row r="20" spans="5:26" x14ac:dyDescent="0.3">
      <c r="E20" s="501"/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17"/>
      <c r="S20" s="417"/>
      <c r="T20" s="417"/>
      <c r="U20" s="417"/>
      <c r="V20" s="417"/>
      <c r="W20" s="417"/>
      <c r="X20" s="506"/>
    </row>
    <row r="21" spans="5:26" x14ac:dyDescent="0.3">
      <c r="E21" s="501"/>
      <c r="F21" s="417"/>
      <c r="G21" s="417"/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7"/>
      <c r="S21" s="417"/>
      <c r="T21" s="417"/>
      <c r="U21" s="417"/>
      <c r="V21" s="417"/>
      <c r="W21" s="417"/>
      <c r="X21" s="506"/>
    </row>
    <row r="22" spans="5:26" x14ac:dyDescent="0.3">
      <c r="E22" s="501"/>
      <c r="F22" s="417"/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417"/>
      <c r="V22" s="417"/>
      <c r="W22" s="417"/>
      <c r="X22" s="506"/>
    </row>
    <row r="23" spans="5:26" x14ac:dyDescent="0.3">
      <c r="E23" s="501"/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  <c r="V23" s="417"/>
      <c r="W23" s="417"/>
      <c r="X23" s="506"/>
    </row>
    <row r="24" spans="5:26" x14ac:dyDescent="0.3">
      <c r="E24" s="501"/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417"/>
      <c r="R24" s="417"/>
      <c r="S24" s="417"/>
      <c r="T24" s="417"/>
      <c r="U24" s="417"/>
      <c r="V24" s="417"/>
      <c r="W24" s="417"/>
      <c r="X24" s="506"/>
    </row>
    <row r="25" spans="5:26" x14ac:dyDescent="0.3">
      <c r="E25" s="501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7"/>
      <c r="T25" s="417"/>
      <c r="U25" s="417"/>
      <c r="V25" s="417"/>
      <c r="W25" s="417"/>
      <c r="X25" s="506"/>
      <c r="Z25" t="s">
        <v>651</v>
      </c>
    </row>
    <row r="26" spans="5:26" x14ac:dyDescent="0.3">
      <c r="E26" s="501"/>
      <c r="F26" s="417"/>
      <c r="G26" s="417"/>
      <c r="H26" s="417"/>
      <c r="I26" s="417"/>
      <c r="J26" s="417"/>
      <c r="K26" s="417"/>
      <c r="L26" s="417"/>
      <c r="M26" s="417"/>
      <c r="N26" s="417"/>
      <c r="O26" s="417"/>
      <c r="P26" s="417"/>
      <c r="Q26" s="417"/>
      <c r="R26" s="417"/>
      <c r="S26" s="417"/>
      <c r="T26" s="417"/>
      <c r="U26" s="417"/>
      <c r="V26" s="417"/>
      <c r="W26" s="417"/>
      <c r="X26" s="506"/>
    </row>
    <row r="27" spans="5:26" x14ac:dyDescent="0.3">
      <c r="E27" s="501"/>
      <c r="F27" s="417"/>
      <c r="G27" s="417"/>
      <c r="H27" s="417"/>
      <c r="I27" s="417"/>
      <c r="J27" s="417"/>
      <c r="K27" s="417"/>
      <c r="L27" s="417"/>
      <c r="M27" s="417"/>
      <c r="N27" s="417"/>
      <c r="O27" s="417"/>
      <c r="P27" s="417"/>
      <c r="Q27" s="417"/>
      <c r="R27" s="417"/>
      <c r="S27" s="417"/>
      <c r="T27" s="417"/>
      <c r="U27" s="417"/>
      <c r="V27" s="417"/>
      <c r="W27" s="417"/>
      <c r="X27" s="506"/>
    </row>
    <row r="28" spans="5:26" x14ac:dyDescent="0.3">
      <c r="E28" s="501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Q28" s="417"/>
      <c r="R28" s="417"/>
      <c r="S28" s="417"/>
      <c r="T28" s="417"/>
      <c r="U28" s="417"/>
      <c r="V28" s="417"/>
      <c r="W28" s="417"/>
      <c r="X28" s="506"/>
    </row>
    <row r="29" spans="5:26" x14ac:dyDescent="0.3">
      <c r="E29" s="501"/>
      <c r="F29" s="417"/>
      <c r="G29" s="417"/>
      <c r="H29" s="417"/>
      <c r="I29" s="417"/>
      <c r="J29" s="417"/>
      <c r="K29" s="417"/>
      <c r="L29" s="417"/>
      <c r="M29" s="417"/>
      <c r="N29" s="417"/>
      <c r="O29" s="417"/>
      <c r="P29" s="417"/>
      <c r="Q29" s="417"/>
      <c r="R29" s="417"/>
      <c r="S29" s="417"/>
      <c r="T29" s="417"/>
      <c r="U29" s="417"/>
      <c r="V29" s="417"/>
      <c r="W29" s="417"/>
      <c r="X29" s="506"/>
    </row>
    <row r="30" spans="5:26" x14ac:dyDescent="0.3">
      <c r="E30" s="501"/>
      <c r="F30" s="417"/>
      <c r="G30" s="417"/>
      <c r="H30" s="417"/>
      <c r="I30" s="417"/>
      <c r="J30" s="417"/>
      <c r="K30" s="417"/>
      <c r="L30" s="417"/>
      <c r="M30" s="417"/>
      <c r="N30" s="417"/>
      <c r="O30" s="417"/>
      <c r="P30" s="417"/>
      <c r="Q30" s="417"/>
      <c r="R30" s="417"/>
      <c r="S30" s="417"/>
      <c r="T30" s="417"/>
      <c r="U30" s="417"/>
      <c r="V30" s="417"/>
      <c r="W30" s="417"/>
      <c r="X30" s="506"/>
    </row>
    <row r="31" spans="5:26" x14ac:dyDescent="0.3">
      <c r="E31" s="501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506"/>
    </row>
    <row r="32" spans="5:26" x14ac:dyDescent="0.3">
      <c r="E32" s="501"/>
      <c r="F32" s="417"/>
      <c r="G32" s="417"/>
      <c r="H32" s="417"/>
      <c r="I32" s="417"/>
      <c r="J32" s="417"/>
      <c r="K32" s="417"/>
      <c r="L32" s="417"/>
      <c r="M32" s="417"/>
      <c r="N32" s="417"/>
      <c r="O32" s="417"/>
      <c r="P32" s="417"/>
      <c r="Q32" s="417"/>
      <c r="R32" s="417"/>
      <c r="S32" s="417"/>
      <c r="T32" s="417"/>
      <c r="U32" s="417"/>
      <c r="V32" s="417"/>
      <c r="W32" s="417"/>
      <c r="X32" s="506"/>
    </row>
    <row r="33" spans="5:24" x14ac:dyDescent="0.3">
      <c r="E33" s="501"/>
      <c r="F33" s="417"/>
      <c r="G33" s="417"/>
      <c r="H33" s="417"/>
      <c r="I33" s="417"/>
      <c r="J33" s="417"/>
      <c r="K33" s="417"/>
      <c r="L33" s="417"/>
      <c r="M33" s="417"/>
      <c r="N33" s="417"/>
      <c r="O33" s="417"/>
      <c r="P33" s="417"/>
      <c r="Q33" s="417"/>
      <c r="R33" s="417"/>
      <c r="S33" s="417"/>
      <c r="T33" s="417"/>
      <c r="U33" s="417"/>
      <c r="V33" s="417"/>
      <c r="W33" s="417"/>
      <c r="X33" s="506"/>
    </row>
    <row r="34" spans="5:24" x14ac:dyDescent="0.3">
      <c r="E34" s="501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7"/>
      <c r="R34" s="417"/>
      <c r="S34" s="417"/>
      <c r="T34" s="417"/>
      <c r="U34" s="417"/>
      <c r="V34" s="417"/>
      <c r="W34" s="417"/>
      <c r="X34" s="506"/>
    </row>
    <row r="35" spans="5:24" x14ac:dyDescent="0.3">
      <c r="E35" s="501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506"/>
    </row>
    <row r="36" spans="5:24" x14ac:dyDescent="0.3">
      <c r="E36" s="501"/>
      <c r="F36" s="417"/>
      <c r="G36" s="417"/>
      <c r="H36" s="417"/>
      <c r="I36" s="417"/>
      <c r="J36" s="417"/>
      <c r="K36" s="417"/>
      <c r="L36" s="417"/>
      <c r="M36" s="417"/>
      <c r="N36" s="417"/>
      <c r="O36" s="417"/>
      <c r="P36" s="417"/>
      <c r="Q36" s="417"/>
      <c r="R36" s="417"/>
      <c r="S36" s="417"/>
      <c r="T36" s="417"/>
      <c r="U36" s="417"/>
      <c r="V36" s="417"/>
      <c r="W36" s="417"/>
      <c r="X36" s="506"/>
    </row>
    <row r="37" spans="5:24" x14ac:dyDescent="0.3">
      <c r="E37" s="501"/>
      <c r="F37" s="417"/>
      <c r="G37" s="417"/>
      <c r="H37" s="417"/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7"/>
      <c r="T37" s="417"/>
      <c r="U37" s="417"/>
      <c r="V37" s="417"/>
      <c r="W37" s="417"/>
      <c r="X37" s="506"/>
    </row>
    <row r="38" spans="5:24" x14ac:dyDescent="0.3">
      <c r="E38" s="501"/>
      <c r="F38" s="417"/>
      <c r="G38" s="417"/>
      <c r="H38" s="417"/>
      <c r="I38" s="417"/>
      <c r="J38" s="417"/>
      <c r="K38" s="417"/>
      <c r="L38" s="417"/>
      <c r="M38" s="417"/>
      <c r="N38" s="417"/>
      <c r="O38" s="417"/>
      <c r="P38" s="417"/>
      <c r="Q38" s="417"/>
      <c r="R38" s="417"/>
      <c r="S38" s="417"/>
      <c r="T38" s="417"/>
      <c r="U38" s="417"/>
      <c r="V38" s="417"/>
      <c r="W38" s="417"/>
    </row>
    <row r="39" spans="5:24" x14ac:dyDescent="0.3">
      <c r="E39" s="501"/>
      <c r="F39" s="417"/>
      <c r="G39" s="417"/>
      <c r="H39" s="417"/>
      <c r="I39" s="417"/>
      <c r="J39" s="417"/>
      <c r="K39" s="417"/>
      <c r="L39" s="417"/>
      <c r="M39" s="417"/>
      <c r="N39" s="417"/>
      <c r="O39" s="417"/>
      <c r="P39" s="417"/>
      <c r="Q39" s="417"/>
      <c r="R39" s="417"/>
      <c r="S39" s="417"/>
      <c r="T39" s="417"/>
      <c r="U39" s="417"/>
      <c r="V39" s="417"/>
      <c r="W39" s="417"/>
      <c r="X39" s="506"/>
    </row>
    <row r="40" spans="5:24" x14ac:dyDescent="0.3">
      <c r="E40" s="501"/>
      <c r="F40" s="417"/>
      <c r="G40" s="417"/>
      <c r="H40" s="417"/>
      <c r="I40" s="417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506"/>
    </row>
    <row r="41" spans="5:24" x14ac:dyDescent="0.3">
      <c r="E41" s="501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7"/>
      <c r="S41" s="417"/>
      <c r="T41" s="417"/>
      <c r="U41" s="417"/>
      <c r="V41" s="417"/>
      <c r="W41" s="417"/>
      <c r="X41" s="506"/>
    </row>
    <row r="42" spans="5:24" x14ac:dyDescent="0.3">
      <c r="E42" s="501"/>
      <c r="F42" s="417"/>
      <c r="G42" s="417"/>
      <c r="H42" s="417"/>
      <c r="I42" s="417"/>
      <c r="J42" s="417"/>
      <c r="K42" s="417"/>
      <c r="L42" s="417"/>
      <c r="M42" s="417"/>
      <c r="N42" s="417"/>
      <c r="O42" s="417"/>
      <c r="P42" s="417"/>
      <c r="Q42" s="417"/>
      <c r="R42" s="417"/>
      <c r="S42" s="417"/>
      <c r="T42" s="417"/>
      <c r="U42" s="417"/>
      <c r="V42" s="417"/>
      <c r="W42" s="417"/>
      <c r="X42" s="506"/>
    </row>
    <row r="43" spans="5:24" x14ac:dyDescent="0.3">
      <c r="E43" s="501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17"/>
      <c r="V43" s="417"/>
      <c r="W43" s="417"/>
      <c r="X43" s="506"/>
    </row>
    <row r="44" spans="5:24" x14ac:dyDescent="0.3">
      <c r="E44" s="501"/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7"/>
      <c r="R44" s="417"/>
      <c r="S44" s="417"/>
      <c r="T44" s="417"/>
      <c r="U44" s="417"/>
      <c r="V44" s="417"/>
      <c r="W44" s="417"/>
      <c r="X44" s="506"/>
    </row>
    <row r="45" spans="5:24" x14ac:dyDescent="0.3">
      <c r="E45" s="501"/>
      <c r="F45" s="417"/>
      <c r="G45" s="417"/>
      <c r="H45" s="417"/>
      <c r="I45" s="417"/>
      <c r="J45" s="417"/>
      <c r="K45" s="417"/>
      <c r="L45" s="417"/>
      <c r="M45" s="417"/>
      <c r="N45" s="417"/>
      <c r="O45" s="417"/>
      <c r="P45" s="417"/>
      <c r="Q45" s="417"/>
      <c r="R45" s="417"/>
      <c r="S45" s="417"/>
      <c r="T45" s="417"/>
      <c r="U45" s="417"/>
      <c r="V45" s="417"/>
      <c r="W45" s="417"/>
      <c r="X45" s="506"/>
    </row>
    <row r="46" spans="5:24" x14ac:dyDescent="0.3">
      <c r="E46" s="501"/>
      <c r="F46" s="417"/>
      <c r="G46" s="417"/>
      <c r="H46" s="417"/>
      <c r="I46" s="417"/>
      <c r="J46" s="417"/>
      <c r="K46" s="417"/>
      <c r="L46" s="417"/>
      <c r="M46" s="417"/>
      <c r="N46" s="417"/>
      <c r="O46" s="417"/>
      <c r="P46" s="417"/>
      <c r="Q46" s="417"/>
      <c r="R46" s="417"/>
      <c r="S46" s="417"/>
      <c r="T46" s="417"/>
      <c r="U46" s="417"/>
      <c r="V46" s="417"/>
      <c r="W46" s="417"/>
      <c r="X46" s="506"/>
    </row>
    <row r="47" spans="5:24" x14ac:dyDescent="0.3">
      <c r="E47" s="501"/>
      <c r="F47" s="417"/>
      <c r="G47" s="417"/>
      <c r="H47" s="417"/>
      <c r="I47" s="417"/>
      <c r="J47" s="417"/>
      <c r="K47" s="417"/>
      <c r="L47" s="417"/>
      <c r="M47" s="417"/>
      <c r="N47" s="417"/>
      <c r="O47" s="417"/>
      <c r="P47" s="417"/>
      <c r="Q47" s="417"/>
      <c r="R47" s="417"/>
      <c r="S47" s="417"/>
      <c r="T47" s="417"/>
      <c r="U47" s="417"/>
      <c r="V47" s="417"/>
      <c r="W47" s="417"/>
      <c r="X47" s="506"/>
    </row>
    <row r="48" spans="5:24" x14ac:dyDescent="0.3">
      <c r="E48" s="501"/>
      <c r="F48" s="417"/>
      <c r="G48" s="417"/>
      <c r="H48" s="417"/>
      <c r="I48" s="417"/>
      <c r="J48" s="417"/>
      <c r="K48" s="417"/>
      <c r="L48" s="417"/>
      <c r="M48" s="417"/>
      <c r="N48" s="417"/>
      <c r="O48" s="417"/>
      <c r="P48" s="417"/>
      <c r="Q48" s="417"/>
      <c r="R48" s="417"/>
      <c r="S48" s="417"/>
      <c r="T48" s="417"/>
      <c r="U48" s="417"/>
      <c r="V48" s="417"/>
      <c r="W48" s="417"/>
      <c r="X48" s="506"/>
    </row>
    <row r="49" spans="5:24" x14ac:dyDescent="0.3">
      <c r="E49" s="501"/>
      <c r="F49" s="417"/>
      <c r="G49" s="417"/>
      <c r="H49" s="417"/>
      <c r="I49" s="417"/>
      <c r="J49" s="417"/>
      <c r="K49" s="417"/>
      <c r="L49" s="417"/>
      <c r="M49" s="417"/>
      <c r="N49" s="417"/>
      <c r="O49" s="417"/>
      <c r="P49" s="417"/>
      <c r="Q49" s="417"/>
      <c r="R49" s="417"/>
      <c r="S49" s="417"/>
      <c r="T49" s="417"/>
      <c r="U49" s="417"/>
      <c r="V49" s="417"/>
      <c r="W49" s="417"/>
      <c r="X49" s="506"/>
    </row>
    <row r="50" spans="5:24" x14ac:dyDescent="0.3">
      <c r="E50" s="501"/>
      <c r="F50" s="417"/>
      <c r="G50" s="417"/>
      <c r="H50" s="417"/>
      <c r="I50" s="417"/>
      <c r="J50" s="417"/>
      <c r="K50" s="417"/>
      <c r="L50" s="417"/>
      <c r="M50" s="417"/>
      <c r="N50" s="417"/>
      <c r="O50" s="417"/>
      <c r="P50" s="417"/>
      <c r="Q50" s="417"/>
      <c r="R50" s="417"/>
      <c r="S50" s="417"/>
      <c r="T50" s="417"/>
      <c r="U50" s="417"/>
      <c r="V50" s="417"/>
      <c r="W50" s="417"/>
      <c r="X50" s="506"/>
    </row>
    <row r="51" spans="5:24" x14ac:dyDescent="0.3">
      <c r="E51" s="507"/>
      <c r="F51" s="508"/>
      <c r="G51" s="508"/>
      <c r="H51" s="508"/>
      <c r="I51" s="508"/>
      <c r="J51" s="508"/>
      <c r="K51" s="509"/>
      <c r="L51" s="503"/>
      <c r="M51" s="503"/>
      <c r="N51" s="503"/>
      <c r="O51" s="503"/>
      <c r="P51" s="503"/>
      <c r="Q51" s="503"/>
      <c r="R51" s="507"/>
      <c r="S51" s="508"/>
      <c r="T51" s="508"/>
      <c r="U51" s="508"/>
      <c r="V51" s="508"/>
      <c r="W51" s="508"/>
      <c r="X51" s="509"/>
    </row>
    <row r="54" spans="5:24" x14ac:dyDescent="0.3">
      <c r="M54" t="s">
        <v>652</v>
      </c>
    </row>
    <row r="56" spans="5:24" x14ac:dyDescent="0.3"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</row>
    <row r="57" spans="5:24" x14ac:dyDescent="0.3"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</row>
    <row r="58" spans="5:24" x14ac:dyDescent="0.3"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</row>
    <row r="59" spans="5:24" x14ac:dyDescent="0.3">
      <c r="E59" s="559"/>
      <c r="F59" s="559"/>
      <c r="G59" s="559"/>
      <c r="H59" s="559"/>
      <c r="I59" s="559"/>
      <c r="J59" s="559"/>
      <c r="K59" s="559"/>
      <c r="L59" s="559"/>
      <c r="M59" s="559"/>
      <c r="N59" s="559"/>
      <c r="O59" s="559"/>
      <c r="P59" s="559"/>
      <c r="Q59" s="559"/>
      <c r="R59" s="559"/>
      <c r="S59" s="559"/>
      <c r="T59" s="559"/>
      <c r="U59" s="559"/>
      <c r="V59" s="559"/>
      <c r="W59" s="559"/>
    </row>
    <row r="60" spans="5:24" x14ac:dyDescent="0.3">
      <c r="E60" s="559"/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S60" s="559"/>
      <c r="T60" s="559"/>
      <c r="U60" s="559"/>
      <c r="V60" s="559"/>
      <c r="W60" s="559"/>
    </row>
    <row r="61" spans="5:24" x14ac:dyDescent="0.3"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</row>
    <row r="62" spans="5:24" x14ac:dyDescent="0.3"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</row>
    <row r="68" spans="19:19" x14ac:dyDescent="0.3">
      <c r="S68" s="510"/>
    </row>
  </sheetData>
  <mergeCells count="3">
    <mergeCell ref="E59:K60"/>
    <mergeCell ref="L59:Q60"/>
    <mergeCell ref="R59:W60"/>
  </mergeCells>
  <hyperlinks>
    <hyperlink ref="A1" location="INDICE!A1" display="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00FF"/>
  </sheetPr>
  <dimension ref="A1:J27"/>
  <sheetViews>
    <sheetView showGridLines="0" topLeftCell="A7" workbookViewId="0">
      <selection activeCell="E16" sqref="E16"/>
    </sheetView>
  </sheetViews>
  <sheetFormatPr baseColWidth="10" defaultRowHeight="16.5" x14ac:dyDescent="0.3"/>
  <cols>
    <col min="2" max="2" width="34.25" customWidth="1"/>
    <col min="4" max="4" width="12.875" customWidth="1"/>
    <col min="5" max="5" width="11" customWidth="1"/>
  </cols>
  <sheetData>
    <row r="1" spans="1:10" x14ac:dyDescent="0.3">
      <c r="A1" s="512" t="s">
        <v>464</v>
      </c>
    </row>
    <row r="2" spans="1:10" ht="23.25" x14ac:dyDescent="0.45">
      <c r="B2" s="562" t="s">
        <v>666</v>
      </c>
      <c r="C2" s="562"/>
      <c r="D2" s="562"/>
      <c r="E2" s="562"/>
      <c r="F2" s="562"/>
      <c r="G2" s="562"/>
      <c r="H2" s="562"/>
      <c r="I2" s="562"/>
      <c r="J2" s="1"/>
    </row>
    <row r="3" spans="1:10" x14ac:dyDescent="0.3">
      <c r="B3" s="1"/>
      <c r="C3" s="1"/>
      <c r="D3" s="1"/>
      <c r="E3" s="1"/>
      <c r="F3" s="1"/>
      <c r="G3" s="1"/>
      <c r="H3" s="1"/>
      <c r="I3" s="1"/>
      <c r="J3" s="1"/>
    </row>
    <row r="4" spans="1:10" x14ac:dyDescent="0.3">
      <c r="B4" s="1"/>
      <c r="C4" s="563" t="s">
        <v>2</v>
      </c>
      <c r="D4" s="563"/>
      <c r="E4" s="563"/>
      <c r="F4" s="563"/>
      <c r="G4" s="1"/>
      <c r="H4" s="1"/>
      <c r="I4" s="1"/>
      <c r="J4" s="1"/>
    </row>
    <row r="5" spans="1:10" x14ac:dyDescent="0.3">
      <c r="B5" s="1"/>
      <c r="C5" s="1"/>
      <c r="D5" s="1"/>
      <c r="E5" s="1"/>
      <c r="F5" s="1"/>
      <c r="G5" s="1"/>
      <c r="H5" s="1"/>
      <c r="I5" s="1"/>
      <c r="J5" s="1"/>
    </row>
    <row r="6" spans="1:10" x14ac:dyDescent="0.3">
      <c r="B6" s="1"/>
      <c r="C6" s="1"/>
      <c r="D6" s="552" t="s">
        <v>3</v>
      </c>
      <c r="E6" s="552" t="s">
        <v>4</v>
      </c>
      <c r="F6" s="1"/>
      <c r="G6" s="1"/>
      <c r="H6" s="1"/>
      <c r="I6" s="1"/>
      <c r="J6" s="1"/>
    </row>
    <row r="7" spans="1:10" x14ac:dyDescent="0.3">
      <c r="B7" s="1"/>
      <c r="C7" s="1"/>
      <c r="D7" s="2" t="s">
        <v>5</v>
      </c>
      <c r="E7" s="3">
        <v>5</v>
      </c>
      <c r="F7" s="1"/>
      <c r="G7" s="1"/>
      <c r="H7" s="1"/>
      <c r="I7" s="1"/>
      <c r="J7" s="1"/>
    </row>
    <row r="8" spans="1:10" x14ac:dyDescent="0.3">
      <c r="B8" s="1"/>
      <c r="C8" s="1"/>
      <c r="D8" s="2" t="s">
        <v>6</v>
      </c>
      <c r="E8" s="3">
        <v>4</v>
      </c>
      <c r="F8" s="1"/>
      <c r="G8" s="1"/>
      <c r="H8" s="1"/>
      <c r="I8" s="1"/>
      <c r="J8" s="1"/>
    </row>
    <row r="9" spans="1:10" x14ac:dyDescent="0.3">
      <c r="B9" s="1"/>
      <c r="C9" s="1"/>
      <c r="D9" s="2" t="s">
        <v>7</v>
      </c>
      <c r="E9" s="3">
        <v>3</v>
      </c>
      <c r="F9" s="1"/>
      <c r="G9" s="1"/>
      <c r="H9" s="1"/>
      <c r="I9" s="1"/>
      <c r="J9" s="1"/>
    </row>
    <row r="10" spans="1:10" x14ac:dyDescent="0.3">
      <c r="B10" s="1"/>
      <c r="C10" s="1"/>
      <c r="D10" s="2" t="s">
        <v>8</v>
      </c>
      <c r="E10" s="3">
        <v>2</v>
      </c>
      <c r="F10" s="1"/>
      <c r="G10" s="1"/>
      <c r="H10" s="1"/>
      <c r="I10" s="1"/>
      <c r="J10" s="1"/>
    </row>
    <row r="11" spans="1:10" x14ac:dyDescent="0.3">
      <c r="B11" s="1"/>
      <c r="C11" s="1"/>
      <c r="D11" s="2" t="s">
        <v>9</v>
      </c>
      <c r="E11" s="3">
        <v>1</v>
      </c>
      <c r="F11" s="1"/>
      <c r="G11" s="1"/>
      <c r="H11" s="1"/>
      <c r="I11" s="1"/>
      <c r="J11" s="1"/>
    </row>
    <row r="12" spans="1:10" x14ac:dyDescent="0.3"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3">
      <c r="B13" s="560" t="s">
        <v>10</v>
      </c>
      <c r="C13" s="560" t="s">
        <v>11</v>
      </c>
      <c r="D13" s="560" t="s">
        <v>12</v>
      </c>
      <c r="E13" s="560"/>
      <c r="F13" s="560" t="s">
        <v>13</v>
      </c>
      <c r="G13" s="560"/>
      <c r="H13" s="560" t="s">
        <v>14</v>
      </c>
      <c r="I13" s="560"/>
      <c r="J13" s="1"/>
    </row>
    <row r="14" spans="1:10" x14ac:dyDescent="0.3">
      <c r="B14" s="560"/>
      <c r="C14" s="560"/>
      <c r="D14" s="551" t="s">
        <v>15</v>
      </c>
      <c r="E14" s="551" t="s">
        <v>16</v>
      </c>
      <c r="F14" s="551" t="s">
        <v>15</v>
      </c>
      <c r="G14" s="551" t="s">
        <v>16</v>
      </c>
      <c r="H14" s="551" t="s">
        <v>15</v>
      </c>
      <c r="I14" s="551" t="s">
        <v>16</v>
      </c>
      <c r="J14" s="1"/>
    </row>
    <row r="15" spans="1:10" x14ac:dyDescent="0.3">
      <c r="B15" s="4" t="s">
        <v>17</v>
      </c>
      <c r="C15" s="5">
        <v>40</v>
      </c>
      <c r="D15" s="3">
        <v>5</v>
      </c>
      <c r="E15" s="3">
        <f>(C15*(D15/100))</f>
        <v>2</v>
      </c>
      <c r="F15" s="3">
        <v>4</v>
      </c>
      <c r="G15" s="3">
        <f>(C15*(F15/100))</f>
        <v>1.6</v>
      </c>
      <c r="H15" s="3">
        <v>2</v>
      </c>
      <c r="I15" s="3">
        <f>(C15*(H15/100))</f>
        <v>0.8</v>
      </c>
      <c r="J15" s="1"/>
    </row>
    <row r="16" spans="1:10" x14ac:dyDescent="0.3">
      <c r="B16" s="4" t="s">
        <v>18</v>
      </c>
      <c r="C16" s="5">
        <v>10</v>
      </c>
      <c r="D16" s="3">
        <v>3</v>
      </c>
      <c r="E16" s="3">
        <f>(C16*(D16/100))</f>
        <v>0.3</v>
      </c>
      <c r="F16" s="3">
        <v>3</v>
      </c>
      <c r="G16" s="3">
        <f>(C16*(F16/100))</f>
        <v>0.3</v>
      </c>
      <c r="H16" s="3">
        <v>2</v>
      </c>
      <c r="I16" s="3">
        <f>(C16*(H16/100))</f>
        <v>0.2</v>
      </c>
      <c r="J16" s="1"/>
    </row>
    <row r="17" spans="2:10" x14ac:dyDescent="0.3">
      <c r="B17" s="4" t="s">
        <v>19</v>
      </c>
      <c r="C17" s="5">
        <v>25</v>
      </c>
      <c r="D17" s="3">
        <v>5</v>
      </c>
      <c r="E17" s="3">
        <f>(C17*(D17/100))</f>
        <v>1.25</v>
      </c>
      <c r="F17" s="3">
        <v>2</v>
      </c>
      <c r="G17" s="3">
        <f>(C17*(F17/100))</f>
        <v>0.5</v>
      </c>
      <c r="H17" s="3">
        <v>4</v>
      </c>
      <c r="I17" s="3">
        <f>(C17*(H17/100))</f>
        <v>1</v>
      </c>
      <c r="J17" s="1"/>
    </row>
    <row r="18" spans="2:10" x14ac:dyDescent="0.3">
      <c r="B18" s="4" t="s">
        <v>20</v>
      </c>
      <c r="C18" s="5">
        <v>10</v>
      </c>
      <c r="D18" s="3">
        <v>2</v>
      </c>
      <c r="E18" s="3">
        <f>(C18*(D18/100))</f>
        <v>0.2</v>
      </c>
      <c r="F18" s="3">
        <v>4</v>
      </c>
      <c r="G18" s="3">
        <f>(C18*(F18/100))</f>
        <v>0.4</v>
      </c>
      <c r="H18" s="3">
        <v>5</v>
      </c>
      <c r="I18" s="3">
        <f>(C18*(H18/100))</f>
        <v>0.5</v>
      </c>
      <c r="J18" s="1"/>
    </row>
    <row r="19" spans="2:10" x14ac:dyDescent="0.3">
      <c r="B19" s="4" t="s">
        <v>21</v>
      </c>
      <c r="C19" s="5">
        <v>15</v>
      </c>
      <c r="D19" s="3">
        <v>4</v>
      </c>
      <c r="E19" s="3">
        <f>(C19*(D19/100))</f>
        <v>0.6</v>
      </c>
      <c r="F19" s="3">
        <v>5</v>
      </c>
      <c r="G19" s="3">
        <f>(C19*(F19/100))</f>
        <v>0.75</v>
      </c>
      <c r="H19" s="3">
        <v>3</v>
      </c>
      <c r="I19" s="3">
        <f>(C19*(H19/100))</f>
        <v>0.44999999999999996</v>
      </c>
      <c r="J19" s="1"/>
    </row>
    <row r="20" spans="2:10" x14ac:dyDescent="0.3">
      <c r="B20" s="3" t="s">
        <v>22</v>
      </c>
      <c r="C20" s="5">
        <f t="shared" ref="C20:I20" si="0">SUM(C15:C19)</f>
        <v>100</v>
      </c>
      <c r="D20" s="3">
        <f t="shared" si="0"/>
        <v>19</v>
      </c>
      <c r="E20" s="6">
        <f t="shared" si="0"/>
        <v>4.3499999999999996</v>
      </c>
      <c r="F20" s="3">
        <f t="shared" si="0"/>
        <v>18</v>
      </c>
      <c r="G20" s="6">
        <f t="shared" si="0"/>
        <v>3.5500000000000003</v>
      </c>
      <c r="H20" s="3">
        <f t="shared" si="0"/>
        <v>16</v>
      </c>
      <c r="I20" s="6">
        <f t="shared" si="0"/>
        <v>2.95</v>
      </c>
      <c r="J20" s="7"/>
    </row>
    <row r="21" spans="2:10" x14ac:dyDescent="0.3">
      <c r="B21" s="8" t="s">
        <v>654</v>
      </c>
      <c r="C21" s="8"/>
      <c r="D21" s="8"/>
      <c r="E21" s="8"/>
      <c r="F21" s="8"/>
      <c r="G21" s="8"/>
      <c r="H21" s="8"/>
      <c r="I21" s="8"/>
      <c r="J21" s="7"/>
    </row>
    <row r="22" spans="2:10" x14ac:dyDescent="0.3">
      <c r="B22" s="8"/>
      <c r="C22" s="8"/>
      <c r="D22" s="8"/>
      <c r="E22" s="8"/>
      <c r="F22" s="8"/>
      <c r="G22" s="8"/>
      <c r="H22" s="8"/>
      <c r="I22" s="8"/>
      <c r="J22" s="7"/>
    </row>
    <row r="23" spans="2:10" x14ac:dyDescent="0.3">
      <c r="B23" s="9" t="s">
        <v>23</v>
      </c>
      <c r="C23" s="8"/>
      <c r="D23" s="8"/>
      <c r="E23" s="8"/>
      <c r="F23" s="8"/>
      <c r="G23" s="8"/>
      <c r="H23" s="8"/>
      <c r="I23" s="8"/>
      <c r="J23" s="7"/>
    </row>
    <row r="24" spans="2:10" x14ac:dyDescent="0.3">
      <c r="B24" s="8"/>
      <c r="C24" s="8"/>
      <c r="D24" s="8"/>
      <c r="E24" s="8"/>
      <c r="F24" s="8"/>
      <c r="G24" s="8"/>
      <c r="H24" s="8"/>
      <c r="I24" s="8"/>
      <c r="J24" s="7"/>
    </row>
    <row r="25" spans="2:10" x14ac:dyDescent="0.3">
      <c r="B25" s="561" t="s">
        <v>24</v>
      </c>
      <c r="C25" s="561"/>
      <c r="D25" s="561"/>
      <c r="E25" s="561"/>
      <c r="F25" s="561"/>
      <c r="G25" s="561"/>
      <c r="H25" s="561"/>
      <c r="I25" s="561"/>
      <c r="J25" s="7"/>
    </row>
    <row r="26" spans="2:10" x14ac:dyDescent="0.3">
      <c r="B26" s="561"/>
      <c r="C26" s="561"/>
      <c r="D26" s="561"/>
      <c r="E26" s="561"/>
      <c r="F26" s="561"/>
      <c r="G26" s="561"/>
      <c r="H26" s="561"/>
      <c r="I26" s="561"/>
      <c r="J26" s="7"/>
    </row>
    <row r="27" spans="2:10" x14ac:dyDescent="0.3">
      <c r="B27" s="561"/>
      <c r="C27" s="561"/>
      <c r="D27" s="561"/>
      <c r="E27" s="561"/>
      <c r="F27" s="561"/>
      <c r="G27" s="561"/>
      <c r="H27" s="561"/>
      <c r="I27" s="561"/>
      <c r="J27" s="7"/>
    </row>
  </sheetData>
  <mergeCells count="8">
    <mergeCell ref="H13:I13"/>
    <mergeCell ref="B25:I27"/>
    <mergeCell ref="B2:I2"/>
    <mergeCell ref="C4:F4"/>
    <mergeCell ref="B13:B14"/>
    <mergeCell ref="C13:C14"/>
    <mergeCell ref="D13:E13"/>
    <mergeCell ref="F13:G13"/>
  </mergeCells>
  <hyperlinks>
    <hyperlink ref="A1" location="INDICE!A1" display="INDICE"/>
  </hyperlink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</sheetPr>
  <dimension ref="A1:O23"/>
  <sheetViews>
    <sheetView showGridLines="0" topLeftCell="C4" workbookViewId="0">
      <selection activeCell="M19" sqref="M19"/>
    </sheetView>
  </sheetViews>
  <sheetFormatPr baseColWidth="10" defaultRowHeight="16.5" x14ac:dyDescent="0.3"/>
  <cols>
    <col min="1" max="1" width="5.5" customWidth="1"/>
    <col min="2" max="2" width="10.75" customWidth="1"/>
    <col min="4" max="4" width="14.5" customWidth="1"/>
    <col min="5" max="5" width="13.5" customWidth="1"/>
    <col min="6" max="6" width="9" customWidth="1"/>
    <col min="12" max="12" width="7.625" customWidth="1"/>
    <col min="14" max="14" width="26.5" customWidth="1"/>
  </cols>
  <sheetData>
    <row r="1" spans="1:15" x14ac:dyDescent="0.3">
      <c r="A1" s="512" t="s">
        <v>464</v>
      </c>
    </row>
    <row r="2" spans="1:15" ht="27.75" x14ac:dyDescent="0.45">
      <c r="B2" s="565" t="s">
        <v>1</v>
      </c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</row>
    <row r="4" spans="1:15" ht="18" x14ac:dyDescent="0.35">
      <c r="B4" s="564" t="s">
        <v>1</v>
      </c>
      <c r="C4" s="564"/>
      <c r="D4" s="564"/>
      <c r="E4" s="564"/>
    </row>
    <row r="5" spans="1:15" x14ac:dyDescent="0.3">
      <c r="B5" s="10" t="s">
        <v>25</v>
      </c>
      <c r="C5" s="10" t="s">
        <v>26</v>
      </c>
      <c r="D5" s="10" t="s">
        <v>27</v>
      </c>
      <c r="E5" s="10" t="s">
        <v>28</v>
      </c>
      <c r="H5" s="566" t="s">
        <v>29</v>
      </c>
      <c r="I5" s="566"/>
      <c r="J5" s="566"/>
      <c r="K5" s="566"/>
      <c r="M5" s="568" t="s">
        <v>1</v>
      </c>
      <c r="N5" s="568"/>
      <c r="O5" s="568"/>
    </row>
    <row r="6" spans="1:15" x14ac:dyDescent="0.3">
      <c r="B6" s="11" t="s">
        <v>30</v>
      </c>
      <c r="C6" s="12">
        <v>2960</v>
      </c>
      <c r="D6" s="12">
        <v>2587</v>
      </c>
      <c r="E6" s="12">
        <f>SUM(C6:D6)</f>
        <v>5547</v>
      </c>
      <c r="H6" s="555" t="s">
        <v>25</v>
      </c>
      <c r="I6" s="555" t="s">
        <v>26</v>
      </c>
      <c r="J6" s="555" t="s">
        <v>27</v>
      </c>
      <c r="K6" s="555" t="s">
        <v>28</v>
      </c>
      <c r="M6" s="10" t="s">
        <v>106</v>
      </c>
      <c r="N6" s="109" t="s">
        <v>107</v>
      </c>
      <c r="O6" s="21">
        <f>K15</f>
        <v>43272</v>
      </c>
    </row>
    <row r="7" spans="1:15" x14ac:dyDescent="0.3">
      <c r="B7" s="11" t="s">
        <v>31</v>
      </c>
      <c r="C7" s="12">
        <v>3093</v>
      </c>
      <c r="D7" s="12">
        <v>2704</v>
      </c>
      <c r="E7" s="12">
        <f t="shared" ref="E7:E22" si="0">SUM(C7:D7)</f>
        <v>5797</v>
      </c>
      <c r="H7" s="13" t="s">
        <v>32</v>
      </c>
      <c r="I7" s="14">
        <v>2868</v>
      </c>
      <c r="J7" s="14">
        <v>2506</v>
      </c>
      <c r="K7" s="14">
        <f t="shared" ref="K7:K14" si="1">SUM(I7:J7)</f>
        <v>5374</v>
      </c>
      <c r="M7" s="10" t="s">
        <v>108</v>
      </c>
      <c r="N7" s="22" t="s">
        <v>109</v>
      </c>
      <c r="O7" s="21">
        <v>1.96</v>
      </c>
    </row>
    <row r="8" spans="1:15" x14ac:dyDescent="0.3">
      <c r="B8" s="11" t="s">
        <v>33</v>
      </c>
      <c r="C8" s="12">
        <v>3061</v>
      </c>
      <c r="D8" s="12">
        <v>2676</v>
      </c>
      <c r="E8" s="12">
        <f t="shared" si="0"/>
        <v>5737</v>
      </c>
      <c r="H8" s="13" t="s">
        <v>34</v>
      </c>
      <c r="I8" s="14">
        <v>2831</v>
      </c>
      <c r="J8" s="14">
        <v>2475</v>
      </c>
      <c r="K8" s="14">
        <f t="shared" si="1"/>
        <v>5306</v>
      </c>
      <c r="M8" s="10" t="s">
        <v>110</v>
      </c>
      <c r="N8" s="22" t="s">
        <v>111</v>
      </c>
      <c r="O8" s="21">
        <v>0.5</v>
      </c>
    </row>
    <row r="9" spans="1:15" x14ac:dyDescent="0.3">
      <c r="B9" s="553" t="s">
        <v>32</v>
      </c>
      <c r="C9" s="554">
        <v>2868</v>
      </c>
      <c r="D9" s="554">
        <v>2506</v>
      </c>
      <c r="E9" s="554">
        <f t="shared" si="0"/>
        <v>5374</v>
      </c>
      <c r="F9" s="567" t="s">
        <v>29</v>
      </c>
      <c r="H9" s="13" t="s">
        <v>35</v>
      </c>
      <c r="I9" s="14">
        <v>3062</v>
      </c>
      <c r="J9" s="14">
        <v>2676</v>
      </c>
      <c r="K9" s="14">
        <f t="shared" si="1"/>
        <v>5738</v>
      </c>
      <c r="M9" s="10" t="s">
        <v>112</v>
      </c>
      <c r="N9" s="22" t="s">
        <v>113</v>
      </c>
      <c r="O9" s="21">
        <v>0.5</v>
      </c>
    </row>
    <row r="10" spans="1:15" x14ac:dyDescent="0.3">
      <c r="B10" s="553" t="s">
        <v>34</v>
      </c>
      <c r="C10" s="554">
        <v>2831</v>
      </c>
      <c r="D10" s="554">
        <v>2475</v>
      </c>
      <c r="E10" s="554">
        <f t="shared" si="0"/>
        <v>5306</v>
      </c>
      <c r="F10" s="567"/>
      <c r="H10" s="13" t="s">
        <v>36</v>
      </c>
      <c r="I10" s="14">
        <v>3229</v>
      </c>
      <c r="J10" s="14">
        <v>2822</v>
      </c>
      <c r="K10" s="14">
        <f t="shared" si="1"/>
        <v>6051</v>
      </c>
      <c r="M10" s="10" t="s">
        <v>114</v>
      </c>
      <c r="N10" s="108" t="s">
        <v>115</v>
      </c>
      <c r="O10" s="21">
        <v>0.05</v>
      </c>
    </row>
    <row r="11" spans="1:15" x14ac:dyDescent="0.3">
      <c r="B11" s="553" t="s">
        <v>35</v>
      </c>
      <c r="C11" s="554">
        <v>3062</v>
      </c>
      <c r="D11" s="554">
        <v>2676</v>
      </c>
      <c r="E11" s="554">
        <f t="shared" si="0"/>
        <v>5738</v>
      </c>
      <c r="F11" s="567"/>
      <c r="H11" s="13" t="s">
        <v>37</v>
      </c>
      <c r="I11" s="14">
        <v>3300</v>
      </c>
      <c r="J11" s="14">
        <v>2885</v>
      </c>
      <c r="K11" s="14">
        <f t="shared" si="1"/>
        <v>6185</v>
      </c>
      <c r="M11" s="23" t="s">
        <v>104</v>
      </c>
      <c r="N11" s="110" t="s">
        <v>105</v>
      </c>
      <c r="O11" s="25">
        <f>J20</f>
        <v>380.77951702577582</v>
      </c>
    </row>
    <row r="12" spans="1:15" x14ac:dyDescent="0.3">
      <c r="B12" s="553" t="s">
        <v>36</v>
      </c>
      <c r="C12" s="554">
        <v>3229</v>
      </c>
      <c r="D12" s="554">
        <v>2822</v>
      </c>
      <c r="E12" s="554">
        <f t="shared" si="0"/>
        <v>6051</v>
      </c>
      <c r="F12" s="567"/>
      <c r="G12" s="15">
        <f>SUM(E9:E16)</f>
        <v>43272</v>
      </c>
      <c r="H12" s="13" t="s">
        <v>38</v>
      </c>
      <c r="I12" s="14">
        <v>2975</v>
      </c>
      <c r="J12" s="14">
        <v>2601</v>
      </c>
      <c r="K12" s="14">
        <f t="shared" si="1"/>
        <v>5576</v>
      </c>
    </row>
    <row r="13" spans="1:15" x14ac:dyDescent="0.3">
      <c r="B13" s="553" t="s">
        <v>37</v>
      </c>
      <c r="C13" s="554">
        <v>3300</v>
      </c>
      <c r="D13" s="554">
        <v>2885</v>
      </c>
      <c r="E13" s="554">
        <f t="shared" si="0"/>
        <v>6185</v>
      </c>
      <c r="F13" s="567"/>
      <c r="G13" s="16"/>
      <c r="H13" s="13" t="s">
        <v>39</v>
      </c>
      <c r="I13" s="14">
        <v>2657</v>
      </c>
      <c r="J13" s="14">
        <v>2323</v>
      </c>
      <c r="K13" s="14">
        <f t="shared" si="1"/>
        <v>4980</v>
      </c>
    </row>
    <row r="14" spans="1:15" x14ac:dyDescent="0.3">
      <c r="B14" s="553" t="s">
        <v>38</v>
      </c>
      <c r="C14" s="554">
        <v>2975</v>
      </c>
      <c r="D14" s="554">
        <v>2601</v>
      </c>
      <c r="E14" s="554">
        <f t="shared" si="0"/>
        <v>5576</v>
      </c>
      <c r="F14" s="567"/>
      <c r="G14" s="16"/>
      <c r="H14" s="13" t="s">
        <v>40</v>
      </c>
      <c r="I14" s="14">
        <v>2168</v>
      </c>
      <c r="J14" s="14">
        <v>1894</v>
      </c>
      <c r="K14" s="14">
        <f t="shared" si="1"/>
        <v>4062</v>
      </c>
    </row>
    <row r="15" spans="1:15" x14ac:dyDescent="0.3">
      <c r="B15" s="553" t="s">
        <v>39</v>
      </c>
      <c r="C15" s="554">
        <v>2657</v>
      </c>
      <c r="D15" s="554">
        <v>2323</v>
      </c>
      <c r="E15" s="554">
        <f t="shared" si="0"/>
        <v>4980</v>
      </c>
      <c r="F15" s="567"/>
      <c r="H15" s="556" t="s">
        <v>28</v>
      </c>
      <c r="I15" s="557">
        <f>SUM(I7:I14)</f>
        <v>23090</v>
      </c>
      <c r="J15" s="557">
        <f>SUM(J7:J14)</f>
        <v>20182</v>
      </c>
      <c r="K15" s="557">
        <f>SUM(K7:K14)</f>
        <v>43272</v>
      </c>
    </row>
    <row r="16" spans="1:15" x14ac:dyDescent="0.3">
      <c r="B16" s="553" t="s">
        <v>40</v>
      </c>
      <c r="C16" s="554">
        <v>2168</v>
      </c>
      <c r="D16" s="554">
        <v>1894</v>
      </c>
      <c r="E16" s="554">
        <f t="shared" si="0"/>
        <v>4062</v>
      </c>
      <c r="F16" s="567"/>
      <c r="G16" s="16"/>
      <c r="H16" s="20"/>
    </row>
    <row r="17" spans="2:10" x14ac:dyDescent="0.3">
      <c r="B17" s="13" t="s">
        <v>41</v>
      </c>
      <c r="C17" s="14">
        <v>1718</v>
      </c>
      <c r="D17" s="14">
        <v>1502</v>
      </c>
      <c r="E17" s="14">
        <f t="shared" si="0"/>
        <v>3220</v>
      </c>
      <c r="F17" s="17"/>
      <c r="G17" s="16"/>
      <c r="H17" s="20"/>
    </row>
    <row r="18" spans="2:10" x14ac:dyDescent="0.3">
      <c r="B18" s="13" t="s">
        <v>42</v>
      </c>
      <c r="C18" s="14">
        <v>1272</v>
      </c>
      <c r="D18" s="14">
        <v>1112</v>
      </c>
      <c r="E18" s="14">
        <f t="shared" si="0"/>
        <v>2384</v>
      </c>
      <c r="F18" s="17"/>
      <c r="G18" s="16"/>
      <c r="H18" s="20"/>
      <c r="I18" t="s">
        <v>116</v>
      </c>
      <c r="J18" s="26">
        <f>(POWER(O7,2)*(O8)*(O9)*(O6))</f>
        <v>41558.428799999994</v>
      </c>
    </row>
    <row r="19" spans="2:10" x14ac:dyDescent="0.3">
      <c r="B19" s="13" t="s">
        <v>43</v>
      </c>
      <c r="C19" s="14">
        <v>949</v>
      </c>
      <c r="D19" s="14">
        <v>830</v>
      </c>
      <c r="E19" s="14">
        <f t="shared" si="0"/>
        <v>1779</v>
      </c>
      <c r="H19" s="20"/>
      <c r="J19">
        <f>((O6*(POWER(O10,2))))+(POWER(O7,2)*(O8)*(O9))</f>
        <v>109.14040000000003</v>
      </c>
    </row>
    <row r="20" spans="2:10" x14ac:dyDescent="0.3">
      <c r="B20" s="13" t="s">
        <v>44</v>
      </c>
      <c r="C20" s="14">
        <v>624</v>
      </c>
      <c r="D20" s="14">
        <v>545</v>
      </c>
      <c r="E20" s="14">
        <f t="shared" si="0"/>
        <v>1169</v>
      </c>
      <c r="H20" s="20"/>
      <c r="I20" t="s">
        <v>116</v>
      </c>
      <c r="J20" s="24">
        <f>J18/J19</f>
        <v>380.77951702577582</v>
      </c>
    </row>
    <row r="21" spans="2:10" x14ac:dyDescent="0.3">
      <c r="B21" s="13" t="s">
        <v>45</v>
      </c>
      <c r="C21" s="14">
        <v>364</v>
      </c>
      <c r="D21" s="14">
        <v>318</v>
      </c>
      <c r="E21" s="14">
        <f t="shared" si="0"/>
        <v>682</v>
      </c>
    </row>
    <row r="22" spans="2:10" x14ac:dyDescent="0.3">
      <c r="B22" s="13" t="s">
        <v>46</v>
      </c>
      <c r="C22" s="14">
        <v>238</v>
      </c>
      <c r="D22" s="14">
        <v>208</v>
      </c>
      <c r="E22" s="14">
        <f t="shared" si="0"/>
        <v>446</v>
      </c>
    </row>
    <row r="23" spans="2:10" x14ac:dyDescent="0.3">
      <c r="B23" s="18" t="s">
        <v>28</v>
      </c>
      <c r="C23" s="19">
        <f t="shared" ref="C23:D23" si="2">SUM(C6:C22)</f>
        <v>37369</v>
      </c>
      <c r="D23" s="19">
        <f t="shared" si="2"/>
        <v>32664</v>
      </c>
      <c r="E23" s="19">
        <f>SUM(E6:E22)</f>
        <v>70033</v>
      </c>
    </row>
  </sheetData>
  <mergeCells count="5">
    <mergeCell ref="B4:E4"/>
    <mergeCell ref="B2:O2"/>
    <mergeCell ref="H5:K5"/>
    <mergeCell ref="F9:F16"/>
    <mergeCell ref="M5:O5"/>
  </mergeCells>
  <hyperlinks>
    <hyperlink ref="B4:D4" location="INICIO!A1" display="MUESTRA"/>
    <hyperlink ref="A1" location="INDICE!A1" display="INDIC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</sheetPr>
  <dimension ref="A1:F73"/>
  <sheetViews>
    <sheetView showGridLines="0" topLeftCell="A2" workbookViewId="0">
      <pane ySplit="4" topLeftCell="A6" activePane="bottomLeft" state="frozen"/>
      <selection activeCell="I20" sqref="I20"/>
      <selection pane="bottomLeft" activeCell="E60" sqref="E60"/>
    </sheetView>
  </sheetViews>
  <sheetFormatPr baseColWidth="10" defaultRowHeight="15" x14ac:dyDescent="0.3"/>
  <cols>
    <col min="1" max="1" width="34.25" style="46" customWidth="1"/>
    <col min="2" max="2" width="16.375" style="46" customWidth="1"/>
    <col min="3" max="3" width="6" style="46" customWidth="1"/>
    <col min="4" max="4" width="8.875" style="46" customWidth="1"/>
    <col min="5" max="5" width="13" style="46" customWidth="1"/>
    <col min="6" max="16384" width="11" style="46"/>
  </cols>
  <sheetData>
    <row r="1" spans="1:6" hidden="1" x14ac:dyDescent="0.3"/>
    <row r="2" spans="1:6" ht="18.75" hidden="1" x14ac:dyDescent="0.3">
      <c r="A2" s="558" t="s">
        <v>453</v>
      </c>
      <c r="B2" s="558"/>
      <c r="C2" s="558"/>
      <c r="D2" s="558"/>
      <c r="E2" s="558"/>
    </row>
    <row r="3" spans="1:6" hidden="1" x14ac:dyDescent="0.3"/>
    <row r="4" spans="1:6" ht="33.75" customHeight="1" x14ac:dyDescent="0.3">
      <c r="A4" s="569" t="s">
        <v>47</v>
      </c>
      <c r="B4" s="569"/>
      <c r="C4" s="569"/>
      <c r="D4" s="569"/>
      <c r="E4" s="569"/>
    </row>
    <row r="5" spans="1:6" s="117" customFormat="1" ht="12.75" customHeight="1" x14ac:dyDescent="0.3">
      <c r="A5" s="112" t="s">
        <v>48</v>
      </c>
      <c r="B5" s="113" t="s">
        <v>49</v>
      </c>
      <c r="C5" s="114" t="s">
        <v>50</v>
      </c>
      <c r="D5" s="115" t="s">
        <v>51</v>
      </c>
      <c r="E5" s="116" t="s">
        <v>52</v>
      </c>
    </row>
    <row r="6" spans="1:6" ht="16.5" x14ac:dyDescent="0.3">
      <c r="A6" s="47" t="s">
        <v>53</v>
      </c>
      <c r="B6" s="48"/>
      <c r="C6" s="49"/>
      <c r="D6" s="49"/>
      <c r="E6" s="50"/>
      <c r="F6" s="512" t="s">
        <v>464</v>
      </c>
    </row>
    <row r="7" spans="1:6" x14ac:dyDescent="0.3">
      <c r="A7" s="51" t="s">
        <v>54</v>
      </c>
      <c r="B7" s="52"/>
      <c r="C7" s="53"/>
      <c r="D7" s="53"/>
      <c r="E7" s="54"/>
    </row>
    <row r="8" spans="1:6" x14ac:dyDescent="0.3">
      <c r="A8" s="55" t="s">
        <v>55</v>
      </c>
      <c r="B8" s="56"/>
      <c r="C8" s="57"/>
      <c r="D8" s="57"/>
      <c r="E8" s="58">
        <f>E9</f>
        <v>1500</v>
      </c>
    </row>
    <row r="9" spans="1:6" x14ac:dyDescent="0.3">
      <c r="A9" s="59" t="s">
        <v>56</v>
      </c>
      <c r="B9" s="60">
        <v>1500</v>
      </c>
      <c r="C9" s="61">
        <v>1</v>
      </c>
      <c r="D9" s="61"/>
      <c r="E9" s="62">
        <f>B9*C9</f>
        <v>1500</v>
      </c>
    </row>
    <row r="10" spans="1:6" x14ac:dyDescent="0.3">
      <c r="A10" s="63" t="s">
        <v>57</v>
      </c>
      <c r="B10" s="64"/>
      <c r="C10" s="65"/>
      <c r="D10" s="65"/>
      <c r="E10" s="66">
        <f>SUM(E11:E15)</f>
        <v>9035</v>
      </c>
    </row>
    <row r="11" spans="1:6" x14ac:dyDescent="0.3">
      <c r="A11" s="59" t="s">
        <v>58</v>
      </c>
      <c r="B11" s="60">
        <v>1299</v>
      </c>
      <c r="C11" s="61">
        <v>1</v>
      </c>
      <c r="D11" s="61" t="s">
        <v>59</v>
      </c>
      <c r="E11" s="62">
        <f t="shared" ref="E11:E32" si="0">B11*C11</f>
        <v>1299</v>
      </c>
    </row>
    <row r="12" spans="1:6" x14ac:dyDescent="0.3">
      <c r="A12" s="59" t="s">
        <v>60</v>
      </c>
      <c r="B12" s="60">
        <v>1999</v>
      </c>
      <c r="C12" s="61">
        <v>2</v>
      </c>
      <c r="D12" s="61" t="s">
        <v>59</v>
      </c>
      <c r="E12" s="62">
        <f t="shared" si="0"/>
        <v>3998</v>
      </c>
    </row>
    <row r="13" spans="1:6" x14ac:dyDescent="0.3">
      <c r="A13" s="59" t="s">
        <v>61</v>
      </c>
      <c r="B13" s="60">
        <v>120</v>
      </c>
      <c r="C13" s="61">
        <v>2</v>
      </c>
      <c r="D13" s="61" t="s">
        <v>59</v>
      </c>
      <c r="E13" s="62">
        <f t="shared" si="0"/>
        <v>240</v>
      </c>
    </row>
    <row r="14" spans="1:6" x14ac:dyDescent="0.3">
      <c r="A14" s="59" t="s">
        <v>62</v>
      </c>
      <c r="B14" s="60">
        <v>1899</v>
      </c>
      <c r="C14" s="61">
        <v>1</v>
      </c>
      <c r="D14" s="61" t="s">
        <v>59</v>
      </c>
      <c r="E14" s="62">
        <f t="shared" si="0"/>
        <v>1899</v>
      </c>
    </row>
    <row r="15" spans="1:6" x14ac:dyDescent="0.3">
      <c r="A15" s="59" t="s">
        <v>63</v>
      </c>
      <c r="B15" s="60">
        <v>1599</v>
      </c>
      <c r="C15" s="61">
        <v>1</v>
      </c>
      <c r="D15" s="61" t="s">
        <v>59</v>
      </c>
      <c r="E15" s="62">
        <f t="shared" si="0"/>
        <v>1599</v>
      </c>
    </row>
    <row r="16" spans="1:6" x14ac:dyDescent="0.3">
      <c r="A16" s="55" t="s">
        <v>64</v>
      </c>
      <c r="B16" s="64"/>
      <c r="C16" s="65"/>
      <c r="D16" s="65"/>
      <c r="E16" s="66">
        <f>SUM(E17:E28)</f>
        <v>577.79999999999995</v>
      </c>
    </row>
    <row r="17" spans="1:5" x14ac:dyDescent="0.3">
      <c r="A17" s="59" t="s">
        <v>65</v>
      </c>
      <c r="B17" s="60">
        <v>6</v>
      </c>
      <c r="C17" s="61">
        <v>2</v>
      </c>
      <c r="D17" s="61" t="s">
        <v>59</v>
      </c>
      <c r="E17" s="62">
        <f t="shared" si="0"/>
        <v>12</v>
      </c>
    </row>
    <row r="18" spans="1:5" x14ac:dyDescent="0.3">
      <c r="A18" s="59" t="s">
        <v>66</v>
      </c>
      <c r="B18" s="60">
        <v>12</v>
      </c>
      <c r="C18" s="61">
        <v>15</v>
      </c>
      <c r="D18" s="61" t="s">
        <v>59</v>
      </c>
      <c r="E18" s="62">
        <f t="shared" si="0"/>
        <v>180</v>
      </c>
    </row>
    <row r="19" spans="1:5" x14ac:dyDescent="0.3">
      <c r="A19" s="59" t="s">
        <v>67</v>
      </c>
      <c r="B19" s="60">
        <v>9.9</v>
      </c>
      <c r="C19" s="61">
        <v>1</v>
      </c>
      <c r="D19" s="61" t="s">
        <v>59</v>
      </c>
      <c r="E19" s="62">
        <f t="shared" si="0"/>
        <v>9.9</v>
      </c>
    </row>
    <row r="20" spans="1:5" x14ac:dyDescent="0.3">
      <c r="A20" s="59" t="s">
        <v>68</v>
      </c>
      <c r="B20" s="60">
        <v>1.9</v>
      </c>
      <c r="C20" s="61">
        <v>10</v>
      </c>
      <c r="D20" s="61" t="s">
        <v>59</v>
      </c>
      <c r="E20" s="62">
        <f t="shared" si="0"/>
        <v>19</v>
      </c>
    </row>
    <row r="21" spans="1:5" x14ac:dyDescent="0.3">
      <c r="A21" s="59" t="s">
        <v>69</v>
      </c>
      <c r="B21" s="60">
        <v>3.9</v>
      </c>
      <c r="C21" s="61">
        <v>10</v>
      </c>
      <c r="D21" s="61" t="s">
        <v>59</v>
      </c>
      <c r="E21" s="62">
        <f t="shared" si="0"/>
        <v>39</v>
      </c>
    </row>
    <row r="22" spans="1:5" x14ac:dyDescent="0.3">
      <c r="A22" s="59" t="s">
        <v>70</v>
      </c>
      <c r="B22" s="60">
        <v>3.5</v>
      </c>
      <c r="C22" s="61">
        <v>1</v>
      </c>
      <c r="D22" s="61" t="s">
        <v>59</v>
      </c>
      <c r="E22" s="62">
        <f t="shared" si="0"/>
        <v>3.5</v>
      </c>
    </row>
    <row r="23" spans="1:5" x14ac:dyDescent="0.3">
      <c r="A23" s="59" t="s">
        <v>71</v>
      </c>
      <c r="B23" s="60">
        <v>9.9</v>
      </c>
      <c r="C23" s="61">
        <v>1</v>
      </c>
      <c r="D23" s="61" t="s">
        <v>59</v>
      </c>
      <c r="E23" s="62">
        <f t="shared" si="0"/>
        <v>9.9</v>
      </c>
    </row>
    <row r="24" spans="1:5" x14ac:dyDescent="0.3">
      <c r="A24" s="59" t="s">
        <v>72</v>
      </c>
      <c r="B24" s="60">
        <v>8</v>
      </c>
      <c r="C24" s="61">
        <v>1</v>
      </c>
      <c r="D24" s="61" t="s">
        <v>59</v>
      </c>
      <c r="E24" s="62">
        <f t="shared" si="0"/>
        <v>8</v>
      </c>
    </row>
    <row r="25" spans="1:5" x14ac:dyDescent="0.3">
      <c r="A25" s="59" t="s">
        <v>73</v>
      </c>
      <c r="B25" s="60">
        <v>4</v>
      </c>
      <c r="C25" s="61">
        <v>1</v>
      </c>
      <c r="D25" s="61" t="s">
        <v>59</v>
      </c>
      <c r="E25" s="62">
        <f t="shared" si="0"/>
        <v>4</v>
      </c>
    </row>
    <row r="26" spans="1:5" x14ac:dyDescent="0.3">
      <c r="A26" s="59" t="s">
        <v>74</v>
      </c>
      <c r="B26" s="60">
        <v>4</v>
      </c>
      <c r="C26" s="61">
        <v>30</v>
      </c>
      <c r="D26" s="61" t="s">
        <v>59</v>
      </c>
      <c r="E26" s="62">
        <f t="shared" si="0"/>
        <v>120</v>
      </c>
    </row>
    <row r="27" spans="1:5" x14ac:dyDescent="0.3">
      <c r="A27" s="59" t="s">
        <v>75</v>
      </c>
      <c r="B27" s="60">
        <v>2.5</v>
      </c>
      <c r="C27" s="61">
        <v>60</v>
      </c>
      <c r="D27" s="61" t="s">
        <v>59</v>
      </c>
      <c r="E27" s="62">
        <f t="shared" si="0"/>
        <v>150</v>
      </c>
    </row>
    <row r="28" spans="1:5" x14ac:dyDescent="0.3">
      <c r="A28" s="59" t="s">
        <v>76</v>
      </c>
      <c r="B28" s="60">
        <v>1.5</v>
      </c>
      <c r="C28" s="61">
        <v>15</v>
      </c>
      <c r="D28" s="61" t="s">
        <v>59</v>
      </c>
      <c r="E28" s="62">
        <f t="shared" si="0"/>
        <v>22.5</v>
      </c>
    </row>
    <row r="29" spans="1:5" x14ac:dyDescent="0.3">
      <c r="A29" s="63" t="s">
        <v>77</v>
      </c>
      <c r="B29" s="64"/>
      <c r="C29" s="65"/>
      <c r="D29" s="65"/>
      <c r="E29" s="66">
        <f>SUM(E30+E31+E32)</f>
        <v>4425</v>
      </c>
    </row>
    <row r="30" spans="1:5" x14ac:dyDescent="0.3">
      <c r="A30" s="59" t="s">
        <v>78</v>
      </c>
      <c r="B30" s="60">
        <v>95</v>
      </c>
      <c r="C30" s="61">
        <v>15</v>
      </c>
      <c r="D30" s="61" t="s">
        <v>59</v>
      </c>
      <c r="E30" s="67">
        <f>B30*C30</f>
        <v>1425</v>
      </c>
    </row>
    <row r="31" spans="1:5" x14ac:dyDescent="0.3">
      <c r="A31" s="59" t="s">
        <v>79</v>
      </c>
      <c r="B31" s="60">
        <v>25</v>
      </c>
      <c r="C31" s="61">
        <v>60</v>
      </c>
      <c r="D31" s="61" t="s">
        <v>59</v>
      </c>
      <c r="E31" s="67">
        <f>B31*C31</f>
        <v>1500</v>
      </c>
    </row>
    <row r="32" spans="1:5" x14ac:dyDescent="0.3">
      <c r="A32" s="59" t="s">
        <v>80</v>
      </c>
      <c r="B32" s="60">
        <v>1500</v>
      </c>
      <c r="C32" s="61">
        <v>1</v>
      </c>
      <c r="D32" s="61" t="s">
        <v>59</v>
      </c>
      <c r="E32" s="67">
        <f t="shared" si="0"/>
        <v>1500</v>
      </c>
    </row>
    <row r="33" spans="1:5" x14ac:dyDescent="0.3">
      <c r="A33" s="68" t="s">
        <v>81</v>
      </c>
      <c r="B33" s="69"/>
      <c r="C33" s="70"/>
      <c r="D33" s="70"/>
      <c r="E33" s="71">
        <f>E29+E16+E10+E8</f>
        <v>15537.8</v>
      </c>
    </row>
    <row r="34" spans="1:5" x14ac:dyDescent="0.3">
      <c r="A34" s="72" t="s">
        <v>82</v>
      </c>
      <c r="B34" s="73"/>
      <c r="C34" s="74"/>
      <c r="D34" s="74"/>
      <c r="E34" s="75"/>
    </row>
    <row r="35" spans="1:5" x14ac:dyDescent="0.3">
      <c r="A35" s="76" t="s">
        <v>83</v>
      </c>
      <c r="B35" s="77">
        <v>100</v>
      </c>
      <c r="C35" s="78">
        <v>1</v>
      </c>
      <c r="D35" s="78" t="s">
        <v>84</v>
      </c>
      <c r="E35" s="79">
        <f>B35*C35</f>
        <v>100</v>
      </c>
    </row>
    <row r="36" spans="1:5" x14ac:dyDescent="0.3">
      <c r="A36" s="59" t="s">
        <v>85</v>
      </c>
      <c r="B36" s="60">
        <v>180</v>
      </c>
      <c r="C36" s="61">
        <v>1</v>
      </c>
      <c r="D36" s="61" t="s">
        <v>86</v>
      </c>
      <c r="E36" s="62">
        <f>B36*C36</f>
        <v>180</v>
      </c>
    </row>
    <row r="37" spans="1:5" x14ac:dyDescent="0.3">
      <c r="A37" s="80" t="s">
        <v>87</v>
      </c>
      <c r="B37" s="81">
        <v>150</v>
      </c>
      <c r="C37" s="82">
        <v>1</v>
      </c>
      <c r="D37" s="61" t="s">
        <v>86</v>
      </c>
      <c r="E37" s="62">
        <f>B37*C37</f>
        <v>150</v>
      </c>
    </row>
    <row r="38" spans="1:5" x14ac:dyDescent="0.3">
      <c r="A38" s="80" t="s">
        <v>88</v>
      </c>
      <c r="B38" s="81">
        <v>0</v>
      </c>
      <c r="C38" s="82">
        <v>1</v>
      </c>
      <c r="D38" s="61" t="s">
        <v>86</v>
      </c>
      <c r="E38" s="62">
        <f t="shared" ref="E38:E44" si="1">B38*C38</f>
        <v>0</v>
      </c>
    </row>
    <row r="39" spans="1:5" x14ac:dyDescent="0.3">
      <c r="A39" s="80" t="s">
        <v>89</v>
      </c>
      <c r="B39" s="81">
        <v>300</v>
      </c>
      <c r="C39" s="82">
        <v>1</v>
      </c>
      <c r="D39" s="61" t="s">
        <v>86</v>
      </c>
      <c r="E39" s="62">
        <f t="shared" si="1"/>
        <v>300</v>
      </c>
    </row>
    <row r="40" spans="1:5" x14ac:dyDescent="0.3">
      <c r="A40" s="80" t="s">
        <v>90</v>
      </c>
      <c r="B40" s="81">
        <v>18</v>
      </c>
      <c r="C40" s="82">
        <v>1</v>
      </c>
      <c r="D40" s="61" t="s">
        <v>86</v>
      </c>
      <c r="E40" s="62">
        <f t="shared" si="1"/>
        <v>18</v>
      </c>
    </row>
    <row r="41" spans="1:5" x14ac:dyDescent="0.3">
      <c r="A41" s="80" t="s">
        <v>91</v>
      </c>
      <c r="B41" s="81">
        <v>300</v>
      </c>
      <c r="C41" s="82">
        <v>1</v>
      </c>
      <c r="D41" s="61" t="s">
        <v>86</v>
      </c>
      <c r="E41" s="62">
        <f t="shared" si="1"/>
        <v>300</v>
      </c>
    </row>
    <row r="42" spans="1:5" x14ac:dyDescent="0.3">
      <c r="A42" s="80" t="s">
        <v>92</v>
      </c>
      <c r="B42" s="81">
        <v>300</v>
      </c>
      <c r="C42" s="82">
        <v>1</v>
      </c>
      <c r="D42" s="61" t="s">
        <v>86</v>
      </c>
      <c r="E42" s="62">
        <f t="shared" si="1"/>
        <v>300</v>
      </c>
    </row>
    <row r="43" spans="1:5" x14ac:dyDescent="0.3">
      <c r="A43" s="80" t="s">
        <v>93</v>
      </c>
      <c r="B43" s="81">
        <v>300</v>
      </c>
      <c r="C43" s="82">
        <v>1</v>
      </c>
      <c r="D43" s="61" t="s">
        <v>86</v>
      </c>
      <c r="E43" s="62">
        <f t="shared" si="1"/>
        <v>300</v>
      </c>
    </row>
    <row r="44" spans="1:5" x14ac:dyDescent="0.3">
      <c r="A44" s="80" t="s">
        <v>94</v>
      </c>
      <c r="B44" s="81">
        <v>200</v>
      </c>
      <c r="C44" s="82">
        <v>1</v>
      </c>
      <c r="D44" s="61" t="s">
        <v>86</v>
      </c>
      <c r="E44" s="62">
        <f t="shared" si="1"/>
        <v>200</v>
      </c>
    </row>
    <row r="45" spans="1:5" x14ac:dyDescent="0.3">
      <c r="A45" s="80" t="s">
        <v>95</v>
      </c>
      <c r="B45" s="81">
        <v>120</v>
      </c>
      <c r="C45" s="82">
        <v>1</v>
      </c>
      <c r="D45" s="82" t="s">
        <v>59</v>
      </c>
      <c r="E45" s="83">
        <f>B45*C45</f>
        <v>120</v>
      </c>
    </row>
    <row r="46" spans="1:5" x14ac:dyDescent="0.3">
      <c r="A46" s="80" t="s">
        <v>96</v>
      </c>
      <c r="B46" s="81">
        <v>25</v>
      </c>
      <c r="C46" s="82">
        <v>1</v>
      </c>
      <c r="D46" s="82" t="s">
        <v>59</v>
      </c>
      <c r="E46" s="83">
        <f>B46*C46</f>
        <v>25</v>
      </c>
    </row>
    <row r="47" spans="1:5" x14ac:dyDescent="0.3">
      <c r="A47" s="84" t="s">
        <v>97</v>
      </c>
      <c r="B47" s="85"/>
      <c r="C47" s="86"/>
      <c r="D47" s="86"/>
      <c r="E47" s="87">
        <f>SUM(E35:E46)</f>
        <v>1993</v>
      </c>
    </row>
    <row r="48" spans="1:5" x14ac:dyDescent="0.3">
      <c r="A48" s="84" t="s">
        <v>98</v>
      </c>
      <c r="B48" s="85"/>
      <c r="C48" s="86"/>
      <c r="D48" s="86"/>
      <c r="E48" s="87">
        <f>E47+E33</f>
        <v>17530.8</v>
      </c>
    </row>
    <row r="49" spans="1:5" x14ac:dyDescent="0.3">
      <c r="A49" s="88" t="s">
        <v>99</v>
      </c>
      <c r="B49" s="89"/>
      <c r="C49" s="90"/>
      <c r="D49" s="90"/>
      <c r="E49" s="390">
        <f>SUM(E50:E66)</f>
        <v>27031.439999999999</v>
      </c>
    </row>
    <row r="50" spans="1:5" ht="16.5" x14ac:dyDescent="0.3">
      <c r="A50" s="27" t="s">
        <v>103</v>
      </c>
      <c r="B50" s="92">
        <f>'COSTO DE PRODUCCION'!X29</f>
        <v>3.16</v>
      </c>
      <c r="C50" s="91">
        <f>'COSTO DE PRODUCCION'!W50</f>
        <v>2160</v>
      </c>
      <c r="D50" s="99" t="s">
        <v>196</v>
      </c>
      <c r="E50" s="101">
        <f>B50*C50</f>
        <v>6825.6</v>
      </c>
    </row>
    <row r="51" spans="1:5" ht="16.5" x14ac:dyDescent="0.3">
      <c r="A51" s="32" t="s">
        <v>118</v>
      </c>
      <c r="B51" s="104">
        <f>'COSTO DE PRODUCCION'!T30</f>
        <v>7.51</v>
      </c>
      <c r="C51" s="91">
        <f>'COSTO DE PRODUCCION'!W51</f>
        <v>216</v>
      </c>
      <c r="D51" s="99" t="s">
        <v>197</v>
      </c>
      <c r="E51" s="101">
        <f t="shared" ref="E51:E65" si="2">B51*C51</f>
        <v>1622.1599999999999</v>
      </c>
    </row>
    <row r="52" spans="1:5" ht="16.5" x14ac:dyDescent="0.3">
      <c r="A52" s="32" t="s">
        <v>120</v>
      </c>
      <c r="B52" s="104">
        <f>'COSTO DE PRODUCCION'!T31</f>
        <v>12</v>
      </c>
      <c r="C52" s="91">
        <f>'COSTO DE PRODUCCION'!W52</f>
        <v>180</v>
      </c>
      <c r="D52" s="99" t="s">
        <v>197</v>
      </c>
      <c r="E52" s="101">
        <f t="shared" si="2"/>
        <v>2160</v>
      </c>
    </row>
    <row r="53" spans="1:5" ht="16.5" x14ac:dyDescent="0.3">
      <c r="A53" s="32" t="s">
        <v>121</v>
      </c>
      <c r="B53" s="104">
        <f>'COSTO DE PRODUCCION'!T32</f>
        <v>14</v>
      </c>
      <c r="C53" s="91">
        <f>'COSTO DE PRODUCCION'!W53</f>
        <v>72</v>
      </c>
      <c r="D53" s="99" t="s">
        <v>197</v>
      </c>
      <c r="E53" s="101">
        <f t="shared" si="2"/>
        <v>1008</v>
      </c>
    </row>
    <row r="54" spans="1:5" ht="16.5" x14ac:dyDescent="0.3">
      <c r="A54" s="32" t="s">
        <v>122</v>
      </c>
      <c r="B54" s="104">
        <f>'COSTO DE PRODUCCION'!T33</f>
        <v>10.555000000000001</v>
      </c>
      <c r="C54" s="91">
        <f>'COSTO DE PRODUCCION'!W54</f>
        <v>120</v>
      </c>
      <c r="D54" s="99" t="s">
        <v>197</v>
      </c>
      <c r="E54" s="101">
        <f t="shared" si="2"/>
        <v>1266.6000000000001</v>
      </c>
    </row>
    <row r="55" spans="1:5" ht="16.5" x14ac:dyDescent="0.3">
      <c r="A55" s="32" t="s">
        <v>123</v>
      </c>
      <c r="B55" s="104">
        <f>'COSTO DE PRODUCCION'!T34</f>
        <v>9.6499999999999986</v>
      </c>
      <c r="C55" s="91">
        <f>'COSTO DE PRODUCCION'!W55</f>
        <v>96</v>
      </c>
      <c r="D55" s="99" t="s">
        <v>197</v>
      </c>
      <c r="E55" s="101">
        <f t="shared" si="2"/>
        <v>926.39999999999986</v>
      </c>
    </row>
    <row r="56" spans="1:5" ht="16.5" x14ac:dyDescent="0.3">
      <c r="A56" s="32" t="s">
        <v>124</v>
      </c>
      <c r="B56" s="104">
        <f>'COSTO DE PRODUCCION'!T35</f>
        <v>9.6999999999999993</v>
      </c>
      <c r="C56" s="91">
        <f>'COSTO DE PRODUCCION'!W56</f>
        <v>120</v>
      </c>
      <c r="D56" s="99" t="s">
        <v>197</v>
      </c>
      <c r="E56" s="101">
        <f t="shared" si="2"/>
        <v>1164</v>
      </c>
    </row>
    <row r="57" spans="1:5" ht="16.5" x14ac:dyDescent="0.3">
      <c r="A57" s="32" t="s">
        <v>125</v>
      </c>
      <c r="B57" s="104">
        <f>'COSTO DE PRODUCCION'!T36</f>
        <v>8.4</v>
      </c>
      <c r="C57" s="91">
        <f>'COSTO DE PRODUCCION'!W57</f>
        <v>72</v>
      </c>
      <c r="D57" s="99" t="s">
        <v>197</v>
      </c>
      <c r="E57" s="101">
        <f t="shared" si="2"/>
        <v>604.80000000000007</v>
      </c>
    </row>
    <row r="58" spans="1:5" ht="16.5" x14ac:dyDescent="0.3">
      <c r="A58" s="32" t="s">
        <v>126</v>
      </c>
      <c r="B58" s="104">
        <f>'COSTO DE PRODUCCION'!T37</f>
        <v>9.4499999999999993</v>
      </c>
      <c r="C58" s="91">
        <f>'COSTO DE PRODUCCION'!W58</f>
        <v>96</v>
      </c>
      <c r="D58" s="99" t="s">
        <v>197</v>
      </c>
      <c r="E58" s="101">
        <f t="shared" si="2"/>
        <v>907.19999999999993</v>
      </c>
    </row>
    <row r="59" spans="1:5" ht="16.5" x14ac:dyDescent="0.3">
      <c r="A59" s="32" t="s">
        <v>127</v>
      </c>
      <c r="B59" s="104">
        <f>'COSTO DE PRODUCCION'!T38</f>
        <v>6.76</v>
      </c>
      <c r="C59" s="91">
        <f>'COSTO DE PRODUCCION'!W59</f>
        <v>144</v>
      </c>
      <c r="D59" s="99" t="s">
        <v>197</v>
      </c>
      <c r="E59" s="101">
        <f t="shared" si="2"/>
        <v>973.43999999999994</v>
      </c>
    </row>
    <row r="60" spans="1:5" ht="16.5" x14ac:dyDescent="0.3">
      <c r="A60" s="32" t="s">
        <v>128</v>
      </c>
      <c r="B60" s="104">
        <f>'COSTO DE PRODUCCION'!T39</f>
        <v>30.74</v>
      </c>
      <c r="C60" s="91">
        <f>'COSTO DE PRODUCCION'!W60</f>
        <v>60</v>
      </c>
      <c r="D60" s="99" t="s">
        <v>197</v>
      </c>
      <c r="E60" s="101">
        <f t="shared" si="2"/>
        <v>1844.3999999999999</v>
      </c>
    </row>
    <row r="61" spans="1:5" ht="16.5" x14ac:dyDescent="0.3">
      <c r="A61" s="32" t="s">
        <v>129</v>
      </c>
      <c r="B61" s="104">
        <f>'COSTO DE PRODUCCION'!T40</f>
        <v>11.375</v>
      </c>
      <c r="C61" s="91">
        <f>'COSTO DE PRODUCCION'!W61</f>
        <v>120</v>
      </c>
      <c r="D61" s="99" t="s">
        <v>197</v>
      </c>
      <c r="E61" s="101">
        <f t="shared" si="2"/>
        <v>1365</v>
      </c>
    </row>
    <row r="62" spans="1:5" ht="16.5" x14ac:dyDescent="0.3">
      <c r="A62" s="32" t="s">
        <v>130</v>
      </c>
      <c r="B62" s="104">
        <f>'COSTO DE PRODUCCION'!T41</f>
        <v>28.84</v>
      </c>
      <c r="C62" s="91">
        <f>'COSTO DE PRODUCCION'!W62</f>
        <v>72</v>
      </c>
      <c r="D62" s="99" t="s">
        <v>197</v>
      </c>
      <c r="E62" s="101">
        <f t="shared" si="2"/>
        <v>2076.48</v>
      </c>
    </row>
    <row r="63" spans="1:5" ht="16.5" x14ac:dyDescent="0.3">
      <c r="A63" s="32" t="s">
        <v>142</v>
      </c>
      <c r="B63" s="104">
        <f>'COSTO DE PRODUCCION'!T42</f>
        <v>10.34</v>
      </c>
      <c r="C63" s="91">
        <f>'COSTO DE PRODUCCION'!W63</f>
        <v>97</v>
      </c>
      <c r="D63" s="99" t="s">
        <v>197</v>
      </c>
      <c r="E63" s="101">
        <f t="shared" si="2"/>
        <v>1002.98</v>
      </c>
    </row>
    <row r="64" spans="1:5" ht="16.5" x14ac:dyDescent="0.3">
      <c r="A64" s="32" t="s">
        <v>143</v>
      </c>
      <c r="B64" s="104">
        <f>'COSTO DE PRODUCCION'!T43</f>
        <v>14.74</v>
      </c>
      <c r="C64" s="91">
        <f>'COSTO DE PRODUCCION'!W64</f>
        <v>85</v>
      </c>
      <c r="D64" s="99" t="s">
        <v>197</v>
      </c>
      <c r="E64" s="101">
        <f t="shared" si="2"/>
        <v>1252.9000000000001</v>
      </c>
    </row>
    <row r="65" spans="1:5" ht="16.5" x14ac:dyDescent="0.3">
      <c r="A65" s="32" t="s">
        <v>144</v>
      </c>
      <c r="B65" s="104">
        <f>'COSTO DE PRODUCCION'!T44</f>
        <v>12.34</v>
      </c>
      <c r="C65" s="91">
        <f>'COSTO DE PRODUCCION'!W65</f>
        <v>81</v>
      </c>
      <c r="D65" s="99" t="s">
        <v>197</v>
      </c>
      <c r="E65" s="101">
        <f t="shared" si="2"/>
        <v>999.54</v>
      </c>
    </row>
    <row r="66" spans="1:5" ht="16.5" x14ac:dyDescent="0.3">
      <c r="A66" s="32" t="s">
        <v>145</v>
      </c>
      <c r="B66" s="104">
        <f>'COSTO DE PRODUCCION'!T45</f>
        <v>11.34</v>
      </c>
      <c r="C66" s="91">
        <f>'COSTO DE PRODUCCION'!W66</f>
        <v>91</v>
      </c>
      <c r="D66" s="99" t="s">
        <v>197</v>
      </c>
      <c r="E66" s="101">
        <f>B66*C66</f>
        <v>1031.94</v>
      </c>
    </row>
    <row r="67" spans="1:5" x14ac:dyDescent="0.3">
      <c r="A67" s="397" t="s">
        <v>536</v>
      </c>
      <c r="B67" s="398"/>
      <c r="C67" s="398"/>
      <c r="D67" s="398"/>
      <c r="E67" s="399">
        <f>SUM(E68:E69)</f>
        <v>9384</v>
      </c>
    </row>
    <row r="68" spans="1:5" x14ac:dyDescent="0.3">
      <c r="A68" s="387" t="s">
        <v>534</v>
      </c>
      <c r="B68" s="104">
        <f>+PLANILLA!C28</f>
        <v>6104</v>
      </c>
      <c r="C68" s="106">
        <v>1</v>
      </c>
      <c r="D68" s="99" t="s">
        <v>152</v>
      </c>
      <c r="E68" s="103">
        <f>B68*C68</f>
        <v>6104</v>
      </c>
    </row>
    <row r="69" spans="1:5" x14ac:dyDescent="0.3">
      <c r="A69" s="388" t="s">
        <v>535</v>
      </c>
      <c r="B69" s="104">
        <f>'GASTOS INDIRECTOS'!E15</f>
        <v>3280</v>
      </c>
      <c r="C69" s="106">
        <v>1</v>
      </c>
      <c r="D69" s="99" t="s">
        <v>152</v>
      </c>
      <c r="E69" s="103">
        <f t="shared" ref="E69:E70" si="3">B69*C69</f>
        <v>3280</v>
      </c>
    </row>
    <row r="70" spans="1:5" x14ac:dyDescent="0.3">
      <c r="A70" s="388" t="s">
        <v>563</v>
      </c>
      <c r="B70" s="104">
        <v>500</v>
      </c>
      <c r="C70" s="106">
        <v>1</v>
      </c>
      <c r="D70" s="99" t="s">
        <v>152</v>
      </c>
      <c r="E70" s="103">
        <f t="shared" si="3"/>
        <v>500</v>
      </c>
    </row>
    <row r="71" spans="1:5" x14ac:dyDescent="0.3">
      <c r="A71" s="43" t="s">
        <v>100</v>
      </c>
      <c r="B71" s="93"/>
      <c r="C71" s="43"/>
      <c r="D71" s="43"/>
      <c r="E71" s="94">
        <f>E67+E49</f>
        <v>36415.440000000002</v>
      </c>
    </row>
    <row r="72" spans="1:5" x14ac:dyDescent="0.3">
      <c r="A72" s="44" t="s">
        <v>101</v>
      </c>
      <c r="B72" s="95"/>
      <c r="C72" s="96"/>
      <c r="D72" s="96"/>
      <c r="E72" s="537">
        <f>E71+E48</f>
        <v>53946.240000000005</v>
      </c>
    </row>
    <row r="73" spans="1:5" x14ac:dyDescent="0.3">
      <c r="A73" s="45" t="s">
        <v>102</v>
      </c>
      <c r="B73" s="97"/>
      <c r="C73" s="45"/>
      <c r="D73" s="45"/>
      <c r="E73" s="98"/>
    </row>
  </sheetData>
  <mergeCells count="2">
    <mergeCell ref="A4:E4"/>
    <mergeCell ref="A2:E2"/>
  </mergeCells>
  <hyperlinks>
    <hyperlink ref="F6" location="INDICE!A1" display="INDICE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00FF"/>
  </sheetPr>
  <dimension ref="A1:AA124"/>
  <sheetViews>
    <sheetView showGridLines="0" topLeftCell="E1" workbookViewId="0">
      <selection activeCell="B14" sqref="B14"/>
    </sheetView>
  </sheetViews>
  <sheetFormatPr baseColWidth="10" defaultRowHeight="16.5" x14ac:dyDescent="0.3"/>
  <cols>
    <col min="1" max="1" width="3" customWidth="1"/>
    <col min="2" max="2" width="23.625" customWidth="1"/>
    <col min="4" max="4" width="11" style="367"/>
    <col min="17" max="17" width="6" customWidth="1"/>
    <col min="18" max="18" width="3.375" bestFit="1" customWidth="1"/>
    <col min="19" max="19" width="19.25" bestFit="1" customWidth="1"/>
    <col min="20" max="20" width="19.375" customWidth="1"/>
    <col min="21" max="21" width="11" customWidth="1"/>
    <col min="22" max="22" width="9.25" customWidth="1"/>
    <col min="24" max="24" width="19.75" customWidth="1"/>
  </cols>
  <sheetData>
    <row r="1" spans="1:25" x14ac:dyDescent="0.3">
      <c r="B1" s="512" t="s">
        <v>464</v>
      </c>
    </row>
    <row r="2" spans="1:25" x14ac:dyDescent="0.3">
      <c r="A2" s="594" t="s">
        <v>465</v>
      </c>
      <c r="B2" s="594"/>
      <c r="C2" s="594"/>
      <c r="D2" s="594"/>
    </row>
    <row r="3" spans="1:25" ht="33" x14ac:dyDescent="0.3">
      <c r="A3" s="365" t="s">
        <v>195</v>
      </c>
      <c r="B3" s="363" t="s">
        <v>135</v>
      </c>
      <c r="C3" s="364" t="s">
        <v>136</v>
      </c>
      <c r="D3" s="365" t="s">
        <v>138</v>
      </c>
      <c r="F3" s="576" t="s">
        <v>468</v>
      </c>
      <c r="G3" s="576"/>
      <c r="H3" s="576"/>
      <c r="J3" s="576" t="s">
        <v>489</v>
      </c>
      <c r="K3" s="576"/>
      <c r="L3" s="576"/>
      <c r="N3" s="576" t="s">
        <v>504</v>
      </c>
      <c r="O3" s="576"/>
      <c r="P3" s="576"/>
      <c r="Q3" s="30"/>
      <c r="V3" s="30"/>
    </row>
    <row r="4" spans="1:25" x14ac:dyDescent="0.3">
      <c r="A4" s="21">
        <v>1</v>
      </c>
      <c r="B4" s="21" t="s">
        <v>103</v>
      </c>
      <c r="C4" s="360" t="s">
        <v>141</v>
      </c>
      <c r="D4" s="492">
        <v>3.16</v>
      </c>
      <c r="F4" s="582" t="s">
        <v>469</v>
      </c>
      <c r="G4" s="583"/>
      <c r="H4" s="368" t="s">
        <v>470</v>
      </c>
      <c r="J4" s="575" t="s">
        <v>469</v>
      </c>
      <c r="K4" s="575"/>
      <c r="L4" s="368" t="s">
        <v>470</v>
      </c>
      <c r="N4" s="582" t="s">
        <v>469</v>
      </c>
      <c r="O4" s="583"/>
      <c r="P4" s="368" t="s">
        <v>470</v>
      </c>
    </row>
    <row r="5" spans="1:25" ht="15" customHeight="1" x14ac:dyDescent="0.3">
      <c r="A5" s="21">
        <v>2</v>
      </c>
      <c r="B5" s="21" t="s">
        <v>118</v>
      </c>
      <c r="C5" s="360" t="s">
        <v>117</v>
      </c>
      <c r="D5" s="492">
        <v>15</v>
      </c>
      <c r="F5" s="570" t="s">
        <v>471</v>
      </c>
      <c r="G5" s="571"/>
      <c r="H5" s="369">
        <f>D4</f>
        <v>3.16</v>
      </c>
      <c r="J5" s="377" t="s">
        <v>490</v>
      </c>
      <c r="K5" s="378"/>
      <c r="L5" s="369">
        <v>4.5</v>
      </c>
      <c r="N5" s="570" t="s">
        <v>505</v>
      </c>
      <c r="O5" s="571"/>
      <c r="P5" s="369">
        <v>28.5</v>
      </c>
      <c r="R5" s="577" t="s">
        <v>131</v>
      </c>
      <c r="S5" s="592" t="s">
        <v>132</v>
      </c>
      <c r="T5" s="593" t="s">
        <v>133</v>
      </c>
      <c r="U5" s="593"/>
      <c r="V5" s="593"/>
      <c r="W5" s="591" t="s">
        <v>134</v>
      </c>
      <c r="X5" s="591"/>
      <c r="Y5" s="591"/>
    </row>
    <row r="6" spans="1:25" ht="19.5" customHeight="1" x14ac:dyDescent="0.3">
      <c r="A6" s="21">
        <v>3</v>
      </c>
      <c r="B6" s="21" t="s">
        <v>119</v>
      </c>
      <c r="C6" s="360" t="s">
        <v>117</v>
      </c>
      <c r="D6" s="492">
        <v>3.4</v>
      </c>
      <c r="F6" s="584" t="s">
        <v>211</v>
      </c>
      <c r="G6" s="585"/>
      <c r="H6" s="370">
        <f>SUM(H5:H5)</f>
        <v>3.16</v>
      </c>
      <c r="J6" s="377" t="s">
        <v>491</v>
      </c>
      <c r="K6" s="378"/>
      <c r="L6" s="369">
        <v>0.75</v>
      </c>
      <c r="N6" s="570" t="s">
        <v>506</v>
      </c>
      <c r="O6" s="571"/>
      <c r="P6" s="369">
        <v>0.34</v>
      </c>
      <c r="R6" s="577"/>
      <c r="S6" s="592"/>
      <c r="T6" s="31" t="s">
        <v>117</v>
      </c>
      <c r="U6" s="31" t="s">
        <v>165</v>
      </c>
      <c r="V6" s="32" t="s">
        <v>166</v>
      </c>
      <c r="W6" s="31" t="s">
        <v>139</v>
      </c>
      <c r="X6" s="31" t="s">
        <v>140</v>
      </c>
      <c r="Y6" s="32" t="s">
        <v>141</v>
      </c>
    </row>
    <row r="7" spans="1:25" x14ac:dyDescent="0.3">
      <c r="A7" s="21">
        <v>4</v>
      </c>
      <c r="B7" s="21" t="s">
        <v>120</v>
      </c>
      <c r="C7" s="360" t="s">
        <v>117</v>
      </c>
      <c r="D7" s="492">
        <v>13</v>
      </c>
      <c r="J7" s="377" t="s">
        <v>492</v>
      </c>
      <c r="K7" s="378"/>
      <c r="L7" s="369">
        <v>0.45</v>
      </c>
      <c r="N7" s="584" t="s">
        <v>211</v>
      </c>
      <c r="O7" s="585"/>
      <c r="P7" s="370">
        <f>SUM(P5:P6)</f>
        <v>28.84</v>
      </c>
      <c r="Q7" s="107"/>
      <c r="R7" s="111">
        <v>1</v>
      </c>
      <c r="S7" s="27" t="s">
        <v>103</v>
      </c>
      <c r="T7" s="34">
        <f>V7*2</f>
        <v>6.32</v>
      </c>
      <c r="U7" s="28"/>
      <c r="V7" s="35">
        <f>H6</f>
        <v>3.16</v>
      </c>
      <c r="W7" s="36">
        <v>10</v>
      </c>
      <c r="X7" s="37"/>
      <c r="Y7" s="37">
        <v>5</v>
      </c>
    </row>
    <row r="8" spans="1:25" ht="15" customHeight="1" x14ac:dyDescent="0.3">
      <c r="A8" s="21">
        <v>5</v>
      </c>
      <c r="B8" s="21" t="s">
        <v>121</v>
      </c>
      <c r="C8" s="360" t="s">
        <v>146</v>
      </c>
      <c r="D8" s="492">
        <v>14</v>
      </c>
      <c r="J8" s="377" t="s">
        <v>493</v>
      </c>
      <c r="K8" s="38"/>
      <c r="L8" s="381">
        <v>4</v>
      </c>
      <c r="Q8" s="107"/>
      <c r="R8" s="111">
        <v>2</v>
      </c>
      <c r="S8" s="32" t="s">
        <v>118</v>
      </c>
      <c r="T8" s="35">
        <f>H15</f>
        <v>7.51</v>
      </c>
      <c r="U8" s="36">
        <f t="shared" ref="U8:U16" si="0">T8/4</f>
        <v>1.8774999999999999</v>
      </c>
      <c r="V8" s="29"/>
      <c r="W8" s="36">
        <v>20</v>
      </c>
      <c r="X8" s="37">
        <f>W8/4</f>
        <v>5</v>
      </c>
      <c r="Y8" s="37"/>
    </row>
    <row r="9" spans="1:25" x14ac:dyDescent="0.3">
      <c r="A9" s="21">
        <v>6</v>
      </c>
      <c r="B9" s="21" t="s">
        <v>147</v>
      </c>
      <c r="C9" s="360" t="s">
        <v>146</v>
      </c>
      <c r="D9" s="492">
        <v>18</v>
      </c>
      <c r="F9" s="576" t="s">
        <v>472</v>
      </c>
      <c r="G9" s="576"/>
      <c r="H9" s="576"/>
      <c r="J9" s="575" t="s">
        <v>211</v>
      </c>
      <c r="K9" s="575"/>
      <c r="L9" s="370">
        <f>SUM(L5:L8)</f>
        <v>9.6999999999999993</v>
      </c>
      <c r="P9" s="380"/>
      <c r="Q9" s="107"/>
      <c r="R9" s="111">
        <v>3</v>
      </c>
      <c r="S9" s="32" t="s">
        <v>120</v>
      </c>
      <c r="T9" s="35">
        <f>H21</f>
        <v>12</v>
      </c>
      <c r="U9" s="36">
        <f t="shared" si="0"/>
        <v>3</v>
      </c>
      <c r="V9" s="29"/>
      <c r="W9" s="36">
        <v>20</v>
      </c>
      <c r="X9" s="37">
        <f>W9/4</f>
        <v>5</v>
      </c>
      <c r="Y9" s="37"/>
    </row>
    <row r="10" spans="1:25" ht="15" customHeight="1" x14ac:dyDescent="0.3">
      <c r="A10" s="21">
        <v>7</v>
      </c>
      <c r="B10" s="21" t="s">
        <v>148</v>
      </c>
      <c r="C10" s="360" t="s">
        <v>149</v>
      </c>
      <c r="D10" s="492">
        <v>2.5</v>
      </c>
      <c r="F10" s="584" t="s">
        <v>469</v>
      </c>
      <c r="G10" s="585"/>
      <c r="H10" s="368" t="s">
        <v>470</v>
      </c>
      <c r="J10" s="375"/>
      <c r="K10" s="375"/>
      <c r="L10" s="375"/>
      <c r="O10" s="380" t="s">
        <v>507</v>
      </c>
      <c r="P10" s="380"/>
      <c r="Q10" s="107"/>
      <c r="R10" s="111">
        <v>4</v>
      </c>
      <c r="S10" s="32" t="s">
        <v>121</v>
      </c>
      <c r="T10" s="35">
        <f>H27</f>
        <v>14</v>
      </c>
      <c r="U10" s="36">
        <f t="shared" si="0"/>
        <v>3.5</v>
      </c>
      <c r="V10" s="29"/>
      <c r="W10" s="36">
        <v>20</v>
      </c>
      <c r="X10" s="37">
        <f>W10/4</f>
        <v>5</v>
      </c>
      <c r="Y10" s="37"/>
    </row>
    <row r="11" spans="1:25" x14ac:dyDescent="0.3">
      <c r="A11" s="21">
        <v>8</v>
      </c>
      <c r="B11" s="21" t="s">
        <v>150</v>
      </c>
      <c r="C11" s="360" t="s">
        <v>149</v>
      </c>
      <c r="D11" s="492">
        <v>1.7</v>
      </c>
      <c r="F11" s="371" t="s">
        <v>473</v>
      </c>
      <c r="G11" s="372"/>
      <c r="H11" s="369">
        <v>5.6</v>
      </c>
      <c r="J11" s="576" t="s">
        <v>494</v>
      </c>
      <c r="K11" s="576"/>
      <c r="L11" s="576"/>
      <c r="N11" s="582" t="s">
        <v>469</v>
      </c>
      <c r="O11" s="583"/>
      <c r="P11" s="368" t="s">
        <v>470</v>
      </c>
      <c r="Q11" s="107"/>
      <c r="R11" s="111">
        <v>5</v>
      </c>
      <c r="S11" s="32" t="s">
        <v>122</v>
      </c>
      <c r="T11" s="35">
        <f>H36</f>
        <v>10.555000000000001</v>
      </c>
      <c r="U11" s="36">
        <f t="shared" si="0"/>
        <v>2.6387500000000004</v>
      </c>
      <c r="V11" s="29"/>
      <c r="W11" s="36">
        <v>25</v>
      </c>
      <c r="X11" s="37">
        <v>7</v>
      </c>
      <c r="Y11" s="37"/>
    </row>
    <row r="12" spans="1:25" x14ac:dyDescent="0.3">
      <c r="A12" s="21">
        <v>9</v>
      </c>
      <c r="B12" s="21" t="s">
        <v>153</v>
      </c>
      <c r="C12" s="360" t="s">
        <v>146</v>
      </c>
      <c r="D12" s="492">
        <v>13</v>
      </c>
      <c r="F12" s="371" t="s">
        <v>474</v>
      </c>
      <c r="G12" s="372"/>
      <c r="H12" s="369">
        <v>1.53</v>
      </c>
      <c r="J12" s="575" t="s">
        <v>469</v>
      </c>
      <c r="K12" s="575"/>
      <c r="L12" s="368" t="s">
        <v>470</v>
      </c>
      <c r="N12" s="570" t="s">
        <v>508</v>
      </c>
      <c r="O12" s="571"/>
      <c r="P12" s="369">
        <v>10</v>
      </c>
      <c r="Q12" s="107"/>
      <c r="R12" s="111">
        <v>6</v>
      </c>
      <c r="S12" s="32" t="s">
        <v>123</v>
      </c>
      <c r="T12" s="35">
        <f>H45</f>
        <v>9.6499999999999986</v>
      </c>
      <c r="U12" s="36">
        <f t="shared" si="0"/>
        <v>2.4124999999999996</v>
      </c>
      <c r="V12" s="29"/>
      <c r="W12" s="36">
        <v>25</v>
      </c>
      <c r="X12" s="37">
        <v>7</v>
      </c>
      <c r="Y12" s="37"/>
    </row>
    <row r="13" spans="1:25" x14ac:dyDescent="0.3">
      <c r="A13" s="21">
        <v>10</v>
      </c>
      <c r="B13" s="21" t="s">
        <v>154</v>
      </c>
      <c r="C13" s="360" t="s">
        <v>146</v>
      </c>
      <c r="D13" s="492">
        <v>25</v>
      </c>
      <c r="F13" s="371" t="s">
        <v>475</v>
      </c>
      <c r="G13" s="372"/>
      <c r="H13" s="369">
        <v>0.255</v>
      </c>
      <c r="J13" s="377" t="s">
        <v>495</v>
      </c>
      <c r="K13" s="378"/>
      <c r="L13" s="369">
        <v>5.25</v>
      </c>
      <c r="N13" s="570" t="s">
        <v>509</v>
      </c>
      <c r="O13" s="571"/>
      <c r="P13" s="369">
        <v>0.34</v>
      </c>
      <c r="Q13" s="107"/>
      <c r="R13" s="111">
        <v>7</v>
      </c>
      <c r="S13" s="32" t="s">
        <v>124</v>
      </c>
      <c r="T13" s="35">
        <f>L9</f>
        <v>9.6999999999999993</v>
      </c>
      <c r="U13" s="36">
        <f t="shared" si="0"/>
        <v>2.4249999999999998</v>
      </c>
      <c r="V13" s="29"/>
      <c r="W13" s="36">
        <v>25</v>
      </c>
      <c r="X13" s="37">
        <v>7</v>
      </c>
      <c r="Y13" s="37"/>
    </row>
    <row r="14" spans="1:25" x14ac:dyDescent="0.3">
      <c r="A14" s="21">
        <v>11</v>
      </c>
      <c r="B14" s="21" t="s">
        <v>155</v>
      </c>
      <c r="C14" s="360" t="s">
        <v>146</v>
      </c>
      <c r="D14" s="492">
        <v>3.5</v>
      </c>
      <c r="F14" s="371" t="s">
        <v>476</v>
      </c>
      <c r="G14" s="373"/>
      <c r="H14" s="374">
        <v>0.125</v>
      </c>
      <c r="J14" s="377" t="s">
        <v>496</v>
      </c>
      <c r="K14" s="378"/>
      <c r="L14" s="369">
        <v>0.3</v>
      </c>
      <c r="N14" s="584" t="s">
        <v>211</v>
      </c>
      <c r="O14" s="585"/>
      <c r="P14" s="370">
        <f>SUM(P12:P13)</f>
        <v>10.34</v>
      </c>
      <c r="Q14" s="107"/>
      <c r="R14" s="111">
        <v>8</v>
      </c>
      <c r="S14" s="32" t="s">
        <v>125</v>
      </c>
      <c r="T14" s="35">
        <f>L18</f>
        <v>8.4</v>
      </c>
      <c r="U14" s="36">
        <f t="shared" si="0"/>
        <v>2.1</v>
      </c>
      <c r="V14" s="29"/>
      <c r="W14" s="36">
        <v>25</v>
      </c>
      <c r="X14" s="37">
        <v>7</v>
      </c>
      <c r="Y14" s="37"/>
    </row>
    <row r="15" spans="1:25" ht="15" customHeight="1" x14ac:dyDescent="0.3">
      <c r="A15" s="21">
        <v>12</v>
      </c>
      <c r="B15" s="21" t="s">
        <v>156</v>
      </c>
      <c r="C15" s="360" t="s">
        <v>149</v>
      </c>
      <c r="D15" s="492">
        <v>4</v>
      </c>
      <c r="F15" s="584" t="s">
        <v>211</v>
      </c>
      <c r="G15" s="585"/>
      <c r="H15" s="370">
        <f>SUM(H11:H14)</f>
        <v>7.51</v>
      </c>
      <c r="J15" s="377" t="s">
        <v>497</v>
      </c>
      <c r="K15" s="378"/>
      <c r="L15" s="369">
        <v>0.5</v>
      </c>
      <c r="Q15" s="107"/>
      <c r="R15" s="111">
        <v>9</v>
      </c>
      <c r="S15" s="32" t="s">
        <v>126</v>
      </c>
      <c r="T15" s="35">
        <f>L28</f>
        <v>9.4499999999999993</v>
      </c>
      <c r="U15" s="36">
        <f t="shared" si="0"/>
        <v>2.3624999999999998</v>
      </c>
      <c r="V15" s="29"/>
      <c r="W15" s="36">
        <v>30</v>
      </c>
      <c r="X15" s="37">
        <v>8</v>
      </c>
      <c r="Y15" s="37"/>
    </row>
    <row r="16" spans="1:25" ht="15" customHeight="1" x14ac:dyDescent="0.3">
      <c r="A16" s="21">
        <v>13</v>
      </c>
      <c r="B16" s="21" t="s">
        <v>151</v>
      </c>
      <c r="C16" s="360" t="s">
        <v>149</v>
      </c>
      <c r="D16" s="492">
        <v>2.5</v>
      </c>
      <c r="F16" s="375"/>
      <c r="G16" s="375"/>
      <c r="H16" s="376"/>
      <c r="J16" s="377" t="s">
        <v>498</v>
      </c>
      <c r="K16" s="38"/>
      <c r="L16" s="379">
        <v>0.25</v>
      </c>
      <c r="P16" s="547"/>
      <c r="Q16" s="107"/>
      <c r="R16" s="111">
        <v>10</v>
      </c>
      <c r="S16" s="32" t="s">
        <v>127</v>
      </c>
      <c r="T16" s="35">
        <f>L37</f>
        <v>6.76</v>
      </c>
      <c r="U16" s="36">
        <f t="shared" si="0"/>
        <v>1.69</v>
      </c>
      <c r="V16" s="29"/>
      <c r="W16" s="36">
        <v>25</v>
      </c>
      <c r="X16" s="37">
        <v>7</v>
      </c>
      <c r="Y16" s="37"/>
    </row>
    <row r="17" spans="1:27" ht="15" customHeight="1" x14ac:dyDescent="0.3">
      <c r="A17" s="21">
        <v>14</v>
      </c>
      <c r="B17" s="21" t="s">
        <v>157</v>
      </c>
      <c r="C17" s="360" t="s">
        <v>149</v>
      </c>
      <c r="D17" s="492">
        <v>4.5</v>
      </c>
      <c r="F17" s="375"/>
      <c r="G17" s="375"/>
      <c r="H17" s="376"/>
      <c r="J17" s="377" t="s">
        <v>499</v>
      </c>
      <c r="K17" s="38"/>
      <c r="L17" s="379">
        <v>2.1</v>
      </c>
      <c r="N17" s="576" t="s">
        <v>510</v>
      </c>
      <c r="O17" s="576"/>
      <c r="P17" s="576"/>
      <c r="Q17" s="107"/>
      <c r="R17" s="111">
        <v>11</v>
      </c>
      <c r="S17" s="32" t="s">
        <v>128</v>
      </c>
      <c r="T17" s="36">
        <f>L43</f>
        <v>30.74</v>
      </c>
      <c r="U17" s="35">
        <f t="shared" ref="U17:U23" si="1">T17/4</f>
        <v>7.6849999999999996</v>
      </c>
      <c r="V17" s="29"/>
      <c r="W17" s="36">
        <v>42</v>
      </c>
      <c r="X17" s="37">
        <v>7</v>
      </c>
      <c r="Y17" s="37"/>
    </row>
    <row r="18" spans="1:27" x14ac:dyDescent="0.3">
      <c r="A18" s="21">
        <v>15</v>
      </c>
      <c r="B18" s="21" t="s">
        <v>158</v>
      </c>
      <c r="C18" s="360" t="s">
        <v>149</v>
      </c>
      <c r="D18" s="492">
        <v>3</v>
      </c>
      <c r="F18" s="576" t="s">
        <v>477</v>
      </c>
      <c r="G18" s="576"/>
      <c r="H18" s="576"/>
      <c r="J18" s="575" t="s">
        <v>211</v>
      </c>
      <c r="K18" s="575"/>
      <c r="L18" s="370">
        <f>SUM(L13:L17)</f>
        <v>8.4</v>
      </c>
      <c r="N18" s="582" t="s">
        <v>469</v>
      </c>
      <c r="O18" s="583"/>
      <c r="P18" s="368" t="s">
        <v>470</v>
      </c>
      <c r="Q18" s="107"/>
      <c r="R18" s="111">
        <v>12</v>
      </c>
      <c r="S18" s="32" t="s">
        <v>129</v>
      </c>
      <c r="T18" s="35">
        <f>L51</f>
        <v>11.375</v>
      </c>
      <c r="U18" s="36">
        <f t="shared" si="1"/>
        <v>2.84375</v>
      </c>
      <c r="V18" s="38"/>
      <c r="W18" s="37">
        <v>22</v>
      </c>
      <c r="X18" s="37">
        <f>W18/4</f>
        <v>5.5</v>
      </c>
      <c r="Y18" s="37"/>
    </row>
    <row r="19" spans="1:27" x14ac:dyDescent="0.3">
      <c r="A19" s="21">
        <v>16</v>
      </c>
      <c r="B19" s="21" t="s">
        <v>159</v>
      </c>
      <c r="C19" s="360" t="s">
        <v>149</v>
      </c>
      <c r="D19" s="492">
        <v>2.5</v>
      </c>
      <c r="F19" s="584" t="s">
        <v>469</v>
      </c>
      <c r="G19" s="585"/>
      <c r="H19" s="368" t="s">
        <v>470</v>
      </c>
      <c r="J19" s="375"/>
      <c r="K19" s="375"/>
      <c r="L19" s="375"/>
      <c r="N19" s="570" t="s">
        <v>511</v>
      </c>
      <c r="O19" s="571"/>
      <c r="P19" s="369">
        <v>14.4</v>
      </c>
      <c r="Q19" s="107"/>
      <c r="R19" s="111">
        <v>13</v>
      </c>
      <c r="S19" s="32" t="s">
        <v>130</v>
      </c>
      <c r="T19" s="36">
        <f>P7</f>
        <v>28.84</v>
      </c>
      <c r="U19" s="35">
        <f t="shared" si="1"/>
        <v>7.21</v>
      </c>
      <c r="V19" s="21"/>
      <c r="W19" s="37">
        <v>50</v>
      </c>
      <c r="X19" s="37">
        <v>10</v>
      </c>
      <c r="Y19" s="37"/>
    </row>
    <row r="20" spans="1:27" ht="15" customHeight="1" x14ac:dyDescent="0.3">
      <c r="A20" s="21">
        <v>17</v>
      </c>
      <c r="B20" s="21" t="s">
        <v>160</v>
      </c>
      <c r="C20" s="360" t="s">
        <v>466</v>
      </c>
      <c r="D20" s="492">
        <v>10.5</v>
      </c>
      <c r="F20" s="371" t="s">
        <v>478</v>
      </c>
      <c r="G20" s="372"/>
      <c r="H20" s="369">
        <v>12</v>
      </c>
      <c r="J20" s="41"/>
      <c r="K20" s="41"/>
      <c r="L20" s="41"/>
      <c r="N20" s="570" t="s">
        <v>509</v>
      </c>
      <c r="O20" s="571"/>
      <c r="P20" s="369">
        <v>0.34</v>
      </c>
      <c r="Q20" s="107"/>
      <c r="R20" s="111">
        <v>14</v>
      </c>
      <c r="S20" s="32" t="s">
        <v>142</v>
      </c>
      <c r="T20" s="33">
        <f>P14</f>
        <v>10.34</v>
      </c>
      <c r="U20" s="39">
        <f t="shared" si="1"/>
        <v>2.585</v>
      </c>
      <c r="V20" s="21"/>
      <c r="W20" s="40">
        <v>32</v>
      </c>
      <c r="X20" s="40">
        <v>6</v>
      </c>
      <c r="Y20" s="21"/>
    </row>
    <row r="21" spans="1:27" ht="16.5" customHeight="1" x14ac:dyDescent="0.3">
      <c r="A21" s="21">
        <v>18</v>
      </c>
      <c r="B21" s="21" t="s">
        <v>161</v>
      </c>
      <c r="C21" s="360" t="s">
        <v>146</v>
      </c>
      <c r="D21" s="492">
        <v>10.5</v>
      </c>
      <c r="F21" s="584" t="s">
        <v>211</v>
      </c>
      <c r="G21" s="585"/>
      <c r="H21" s="370">
        <f>SUM(H20:H20)</f>
        <v>12</v>
      </c>
      <c r="J21" s="576" t="s">
        <v>500</v>
      </c>
      <c r="K21" s="576"/>
      <c r="L21" s="576"/>
      <c r="N21" s="584" t="s">
        <v>211</v>
      </c>
      <c r="O21" s="585"/>
      <c r="P21" s="370">
        <f>SUM(P19:P20)</f>
        <v>14.74</v>
      </c>
      <c r="Q21" s="107"/>
      <c r="R21" s="111">
        <v>15</v>
      </c>
      <c r="S21" s="32" t="s">
        <v>143</v>
      </c>
      <c r="T21" s="33">
        <f>P21</f>
        <v>14.74</v>
      </c>
      <c r="U21" s="39">
        <f t="shared" si="1"/>
        <v>3.6850000000000001</v>
      </c>
      <c r="V21" s="21"/>
      <c r="W21" s="40">
        <v>28</v>
      </c>
      <c r="X21" s="40">
        <v>7</v>
      </c>
      <c r="Y21" s="21"/>
    </row>
    <row r="22" spans="1:27" ht="15" customHeight="1" x14ac:dyDescent="0.3">
      <c r="A22" s="21">
        <v>19</v>
      </c>
      <c r="B22" s="21" t="s">
        <v>162</v>
      </c>
      <c r="C22" s="360" t="s">
        <v>146</v>
      </c>
      <c r="D22" s="492">
        <v>10.5</v>
      </c>
      <c r="F22" s="375"/>
      <c r="G22" s="375"/>
      <c r="H22" s="376"/>
      <c r="J22" s="575" t="s">
        <v>469</v>
      </c>
      <c r="K22" s="575"/>
      <c r="L22" s="368" t="s">
        <v>470</v>
      </c>
      <c r="Q22" s="107"/>
      <c r="R22" s="111">
        <v>16</v>
      </c>
      <c r="S22" s="32" t="s">
        <v>144</v>
      </c>
      <c r="T22" s="33">
        <f>P27</f>
        <v>12.34</v>
      </c>
      <c r="U22" s="39">
        <f t="shared" si="1"/>
        <v>3.085</v>
      </c>
      <c r="V22" s="21"/>
      <c r="W22" s="40">
        <v>25</v>
      </c>
      <c r="X22" s="40">
        <f t="shared" ref="X22" si="2">W22/4</f>
        <v>6.25</v>
      </c>
      <c r="Y22" s="21"/>
    </row>
    <row r="23" spans="1:27" ht="15" customHeight="1" x14ac:dyDescent="0.3">
      <c r="A23" s="21">
        <v>20</v>
      </c>
      <c r="B23" s="21" t="s">
        <v>467</v>
      </c>
      <c r="C23" s="360" t="s">
        <v>146</v>
      </c>
      <c r="D23" s="492">
        <v>15</v>
      </c>
      <c r="F23" s="375"/>
      <c r="G23" s="375"/>
      <c r="H23" s="376"/>
      <c r="J23" s="377" t="s">
        <v>501</v>
      </c>
      <c r="K23" s="378"/>
      <c r="L23" s="369">
        <v>1.4</v>
      </c>
      <c r="N23" s="576" t="s">
        <v>512</v>
      </c>
      <c r="O23" s="576"/>
      <c r="P23" s="576"/>
      <c r="Q23" s="107"/>
      <c r="R23" s="111">
        <v>17</v>
      </c>
      <c r="S23" s="32" t="s">
        <v>145</v>
      </c>
      <c r="T23" s="33">
        <f>P33</f>
        <v>11.34</v>
      </c>
      <c r="U23" s="39">
        <f t="shared" si="1"/>
        <v>2.835</v>
      </c>
      <c r="V23" s="21"/>
      <c r="W23" s="40">
        <v>26</v>
      </c>
      <c r="X23" s="40">
        <v>8</v>
      </c>
      <c r="Y23" s="21"/>
    </row>
    <row r="24" spans="1:27" x14ac:dyDescent="0.3">
      <c r="A24" s="21">
        <v>21</v>
      </c>
      <c r="B24" s="21" t="s">
        <v>163</v>
      </c>
      <c r="C24" s="360" t="s">
        <v>146</v>
      </c>
      <c r="D24" s="492">
        <v>10</v>
      </c>
      <c r="F24" s="576" t="s">
        <v>479</v>
      </c>
      <c r="G24" s="576"/>
      <c r="H24" s="576"/>
      <c r="J24" s="377" t="s">
        <v>502</v>
      </c>
      <c r="K24" s="378"/>
      <c r="L24" s="369">
        <v>1.1000000000000001</v>
      </c>
      <c r="N24" s="582" t="s">
        <v>469</v>
      </c>
      <c r="O24" s="583"/>
      <c r="P24" s="368" t="s">
        <v>470</v>
      </c>
      <c r="R24" s="590" t="s">
        <v>28</v>
      </c>
      <c r="S24" s="590"/>
      <c r="T24" s="33">
        <f>SUM(T7:T23)</f>
        <v>214.06000000000003</v>
      </c>
      <c r="U24" s="33">
        <f t="shared" ref="U24:Y24" si="3">SUM(U7:U23)</f>
        <v>51.935000000000002</v>
      </c>
      <c r="V24" s="33">
        <f t="shared" si="3"/>
        <v>3.16</v>
      </c>
      <c r="W24" s="33">
        <f t="shared" si="3"/>
        <v>450</v>
      </c>
      <c r="X24" s="33">
        <f t="shared" si="3"/>
        <v>107.75</v>
      </c>
      <c r="Y24" s="33">
        <f t="shared" si="3"/>
        <v>5</v>
      </c>
    </row>
    <row r="25" spans="1:27" ht="15" customHeight="1" x14ac:dyDescent="0.3">
      <c r="A25" s="21">
        <v>22</v>
      </c>
      <c r="B25" s="21" t="s">
        <v>128</v>
      </c>
      <c r="C25" s="360" t="s">
        <v>146</v>
      </c>
      <c r="D25" s="492">
        <v>38</v>
      </c>
      <c r="F25" s="584" t="s">
        <v>469</v>
      </c>
      <c r="G25" s="585"/>
      <c r="H25" s="368" t="s">
        <v>470</v>
      </c>
      <c r="J25" s="570" t="s">
        <v>503</v>
      </c>
      <c r="K25" s="571"/>
      <c r="L25" s="369">
        <v>2.1</v>
      </c>
      <c r="N25" s="570" t="s">
        <v>513</v>
      </c>
      <c r="O25" s="571"/>
      <c r="P25" s="369">
        <v>12</v>
      </c>
    </row>
    <row r="26" spans="1:27" ht="15.75" customHeight="1" x14ac:dyDescent="0.35">
      <c r="A26" s="21">
        <v>23</v>
      </c>
      <c r="B26" s="21" t="s">
        <v>164</v>
      </c>
      <c r="C26" s="360" t="s">
        <v>149</v>
      </c>
      <c r="D26" s="492">
        <v>1.502</v>
      </c>
      <c r="F26" s="371" t="s">
        <v>480</v>
      </c>
      <c r="G26" s="372"/>
      <c r="H26" s="369">
        <v>14</v>
      </c>
      <c r="J26" s="377" t="s">
        <v>516</v>
      </c>
      <c r="K26" s="38"/>
      <c r="L26" s="379">
        <v>3.75</v>
      </c>
      <c r="N26" s="570" t="s">
        <v>509</v>
      </c>
      <c r="O26" s="571"/>
      <c r="P26" s="369">
        <v>0.34</v>
      </c>
      <c r="S26" s="578" t="s">
        <v>639</v>
      </c>
      <c r="T26" s="578"/>
      <c r="U26" s="578"/>
      <c r="V26" s="578"/>
      <c r="W26" s="578"/>
      <c r="X26" s="578"/>
      <c r="Y26" s="578"/>
      <c r="Z26" s="578"/>
      <c r="AA26" s="578"/>
    </row>
    <row r="27" spans="1:27" s="41" customFormat="1" ht="15" customHeight="1" x14ac:dyDescent="0.3">
      <c r="A27" s="21">
        <v>24</v>
      </c>
      <c r="B27" s="21" t="s">
        <v>130</v>
      </c>
      <c r="C27" s="360" t="s">
        <v>146</v>
      </c>
      <c r="D27" s="492">
        <v>38</v>
      </c>
      <c r="F27" s="584" t="s">
        <v>211</v>
      </c>
      <c r="G27" s="585"/>
      <c r="H27" s="370">
        <f>SUM(H26:H26)</f>
        <v>14</v>
      </c>
      <c r="J27" s="377" t="s">
        <v>517</v>
      </c>
      <c r="K27" s="38"/>
      <c r="L27" s="379">
        <v>1.1000000000000001</v>
      </c>
      <c r="N27" s="584" t="s">
        <v>211</v>
      </c>
      <c r="O27" s="585"/>
      <c r="P27" s="370">
        <f>SUM(P25:P26)</f>
        <v>12.34</v>
      </c>
      <c r="R27" s="577" t="s">
        <v>131</v>
      </c>
      <c r="S27" s="573" t="s">
        <v>528</v>
      </c>
      <c r="T27" s="574" t="s">
        <v>529</v>
      </c>
      <c r="U27" s="586" t="s">
        <v>530</v>
      </c>
      <c r="V27" s="573" t="s">
        <v>531</v>
      </c>
      <c r="W27" s="573" t="s">
        <v>532</v>
      </c>
      <c r="X27" s="587" t="s">
        <v>533</v>
      </c>
      <c r="Y27" s="589" t="s">
        <v>530</v>
      </c>
      <c r="Z27" s="588" t="s">
        <v>531</v>
      </c>
      <c r="AA27" s="579" t="s">
        <v>532</v>
      </c>
    </row>
    <row r="28" spans="1:27" s="41" customFormat="1" x14ac:dyDescent="0.3">
      <c r="A28" s="21">
        <v>25</v>
      </c>
      <c r="B28" s="21" t="s">
        <v>142</v>
      </c>
      <c r="C28" s="360" t="s">
        <v>117</v>
      </c>
      <c r="D28" s="492">
        <v>13</v>
      </c>
      <c r="F28" s="375"/>
      <c r="G28" s="375"/>
      <c r="H28" s="376"/>
      <c r="J28" s="575" t="s">
        <v>211</v>
      </c>
      <c r="K28" s="575"/>
      <c r="L28" s="370">
        <f>SUM(L23:L27)</f>
        <v>9.4499999999999993</v>
      </c>
      <c r="N28"/>
      <c r="O28"/>
      <c r="P28"/>
      <c r="R28" s="577"/>
      <c r="S28" s="573"/>
      <c r="T28" s="574"/>
      <c r="U28" s="586"/>
      <c r="V28" s="573"/>
      <c r="W28" s="573"/>
      <c r="X28" s="587"/>
      <c r="Y28" s="589"/>
      <c r="Z28" s="588"/>
      <c r="AA28" s="579"/>
    </row>
    <row r="29" spans="1:27" s="41" customFormat="1" x14ac:dyDescent="0.3">
      <c r="A29" s="21">
        <v>26</v>
      </c>
      <c r="B29" s="21" t="s">
        <v>143</v>
      </c>
      <c r="C29" s="360" t="s">
        <v>117</v>
      </c>
      <c r="D29" s="492">
        <v>18</v>
      </c>
      <c r="F29" s="375"/>
      <c r="G29" s="375"/>
      <c r="H29" s="376"/>
      <c r="J29" s="375"/>
      <c r="K29" s="375"/>
      <c r="L29" s="375"/>
      <c r="N29" s="576" t="s">
        <v>514</v>
      </c>
      <c r="O29" s="576"/>
      <c r="P29" s="576"/>
      <c r="R29" s="511">
        <v>1</v>
      </c>
      <c r="S29" s="27" t="s">
        <v>103</v>
      </c>
      <c r="T29" s="21"/>
      <c r="U29" s="21"/>
      <c r="V29" s="434"/>
      <c r="W29" s="384"/>
      <c r="X29" s="385">
        <v>3.16</v>
      </c>
      <c r="Y29" s="11">
        <f t="shared" ref="Y29:Y45" si="4">X29*1.18</f>
        <v>3.7288000000000001</v>
      </c>
      <c r="Z29" s="386">
        <v>5</v>
      </c>
      <c r="AA29" s="386">
        <f>Z29-Y29</f>
        <v>1.2711999999999999</v>
      </c>
    </row>
    <row r="30" spans="1:27" s="41" customFormat="1" x14ac:dyDescent="0.3">
      <c r="A30" s="21">
        <v>27</v>
      </c>
      <c r="B30" s="21" t="s">
        <v>144</v>
      </c>
      <c r="C30" s="360" t="s">
        <v>117</v>
      </c>
      <c r="D30" s="492">
        <v>15</v>
      </c>
      <c r="F30" s="576" t="s">
        <v>481</v>
      </c>
      <c r="G30" s="576"/>
      <c r="H30" s="576"/>
      <c r="J30" s="375"/>
      <c r="K30" s="375"/>
      <c r="L30" s="375"/>
      <c r="N30" s="582" t="s">
        <v>469</v>
      </c>
      <c r="O30" s="583"/>
      <c r="P30" s="368" t="s">
        <v>470</v>
      </c>
      <c r="R30" s="511">
        <v>2</v>
      </c>
      <c r="S30" s="32" t="s">
        <v>118</v>
      </c>
      <c r="T30" s="366">
        <f>H15</f>
        <v>7.51</v>
      </c>
      <c r="U30" s="366">
        <f>T30*1.18</f>
        <v>8.8617999999999988</v>
      </c>
      <c r="V30" s="386">
        <v>20</v>
      </c>
      <c r="W30" s="386">
        <f>V30-U30</f>
        <v>11.138200000000001</v>
      </c>
      <c r="X30" s="385">
        <v>1.9775</v>
      </c>
      <c r="Y30" s="11">
        <f t="shared" si="4"/>
        <v>2.33345</v>
      </c>
      <c r="Z30" s="386">
        <v>5</v>
      </c>
      <c r="AA30" s="386">
        <f>Z30-Y30</f>
        <v>2.66655</v>
      </c>
    </row>
    <row r="31" spans="1:27" x14ac:dyDescent="0.3">
      <c r="A31" s="21">
        <v>28</v>
      </c>
      <c r="B31" s="21" t="s">
        <v>145</v>
      </c>
      <c r="C31" s="360" t="s">
        <v>117</v>
      </c>
      <c r="D31" s="492">
        <v>14</v>
      </c>
      <c r="F31" s="584" t="s">
        <v>469</v>
      </c>
      <c r="G31" s="585"/>
      <c r="H31" s="368" t="s">
        <v>470</v>
      </c>
      <c r="J31" s="576" t="s">
        <v>518</v>
      </c>
      <c r="K31" s="576"/>
      <c r="L31" s="576"/>
      <c r="N31" s="570" t="s">
        <v>515</v>
      </c>
      <c r="O31" s="571"/>
      <c r="P31" s="369">
        <v>11</v>
      </c>
      <c r="R31" s="511">
        <v>3</v>
      </c>
      <c r="S31" s="32" t="s">
        <v>120</v>
      </c>
      <c r="T31" s="366">
        <f>H21</f>
        <v>12</v>
      </c>
      <c r="U31" s="366">
        <f t="shared" ref="U31:U45" si="5">T31*1.18</f>
        <v>14.16</v>
      </c>
      <c r="V31" s="386">
        <v>20</v>
      </c>
      <c r="W31" s="386">
        <f t="shared" ref="W31:W45" si="6">V31-U31</f>
        <v>5.84</v>
      </c>
      <c r="X31" s="385">
        <v>3.25</v>
      </c>
      <c r="Y31" s="11">
        <f t="shared" si="4"/>
        <v>3.835</v>
      </c>
      <c r="Z31" s="386">
        <v>5</v>
      </c>
      <c r="AA31" s="386">
        <f>Z31-Y31</f>
        <v>1.165</v>
      </c>
    </row>
    <row r="32" spans="1:27" ht="15" customHeight="1" x14ac:dyDescent="0.3">
      <c r="F32" s="371" t="s">
        <v>544</v>
      </c>
      <c r="G32" s="372"/>
      <c r="H32" s="369">
        <v>9</v>
      </c>
      <c r="J32" s="575" t="s">
        <v>469</v>
      </c>
      <c r="K32" s="575"/>
      <c r="L32" s="368" t="s">
        <v>470</v>
      </c>
      <c r="N32" s="570" t="s">
        <v>509</v>
      </c>
      <c r="O32" s="571"/>
      <c r="P32" s="369">
        <v>0.34</v>
      </c>
      <c r="R32" s="511">
        <v>4</v>
      </c>
      <c r="S32" s="32" t="s">
        <v>121</v>
      </c>
      <c r="T32" s="366">
        <f>H27</f>
        <v>14</v>
      </c>
      <c r="U32" s="366">
        <f>T32*1.18</f>
        <v>16.52</v>
      </c>
      <c r="V32" s="386">
        <v>20</v>
      </c>
      <c r="W32" s="386">
        <f t="shared" si="6"/>
        <v>3.4800000000000004</v>
      </c>
      <c r="X32" s="385">
        <v>3.5</v>
      </c>
      <c r="Y32" s="11">
        <f t="shared" si="4"/>
        <v>4.13</v>
      </c>
      <c r="Z32" s="386">
        <v>5</v>
      </c>
      <c r="AA32" s="386">
        <f>Z32-Y32</f>
        <v>0.87000000000000011</v>
      </c>
    </row>
    <row r="33" spans="6:27" x14ac:dyDescent="0.3">
      <c r="F33" s="371" t="s">
        <v>482</v>
      </c>
      <c r="G33" s="372"/>
      <c r="H33" s="369">
        <v>0.5</v>
      </c>
      <c r="J33" s="570" t="s">
        <v>519</v>
      </c>
      <c r="K33" s="571"/>
      <c r="L33" s="369">
        <v>3</v>
      </c>
      <c r="N33" s="584" t="s">
        <v>211</v>
      </c>
      <c r="O33" s="585"/>
      <c r="P33" s="370">
        <f>SUM(P31:P32)</f>
        <v>11.34</v>
      </c>
      <c r="R33" s="511">
        <v>5</v>
      </c>
      <c r="S33" s="32" t="s">
        <v>122</v>
      </c>
      <c r="T33" s="366">
        <f>H36</f>
        <v>10.555000000000001</v>
      </c>
      <c r="U33" s="366">
        <f t="shared" si="5"/>
        <v>12.4549</v>
      </c>
      <c r="V33" s="386">
        <v>25</v>
      </c>
      <c r="W33" s="386">
        <f t="shared" si="6"/>
        <v>12.5451</v>
      </c>
      <c r="X33" s="385">
        <v>3.37</v>
      </c>
      <c r="Y33" s="11">
        <f t="shared" si="4"/>
        <v>3.9765999999999999</v>
      </c>
      <c r="Z33" s="386">
        <v>7</v>
      </c>
      <c r="AA33" s="386">
        <f>Z33-Y33</f>
        <v>3.0234000000000001</v>
      </c>
    </row>
    <row r="34" spans="6:27" ht="15" customHeight="1" x14ac:dyDescent="0.3">
      <c r="F34" s="371" t="s">
        <v>475</v>
      </c>
      <c r="G34" s="372"/>
      <c r="H34" s="369">
        <v>0.255</v>
      </c>
      <c r="J34" s="377" t="s">
        <v>520</v>
      </c>
      <c r="K34" s="378"/>
      <c r="L34" s="369">
        <v>2</v>
      </c>
      <c r="R34" s="511">
        <v>6</v>
      </c>
      <c r="S34" s="32" t="s">
        <v>123</v>
      </c>
      <c r="T34" s="366">
        <f>H45</f>
        <v>9.6499999999999986</v>
      </c>
      <c r="U34" s="366">
        <f t="shared" si="5"/>
        <v>11.386999999999997</v>
      </c>
      <c r="V34" s="386">
        <v>25</v>
      </c>
      <c r="W34" s="386">
        <f t="shared" si="6"/>
        <v>13.613000000000003</v>
      </c>
      <c r="X34" s="385">
        <v>2.4124999999999996</v>
      </c>
      <c r="Y34" s="11">
        <f t="shared" si="4"/>
        <v>2.8467499999999992</v>
      </c>
      <c r="Z34" s="386">
        <v>7</v>
      </c>
      <c r="AA34" s="386">
        <f t="shared" ref="AA34:AA45" si="7">Z34-Y34</f>
        <v>4.1532500000000008</v>
      </c>
    </row>
    <row r="35" spans="6:27" x14ac:dyDescent="0.3">
      <c r="F35" s="371" t="s">
        <v>543</v>
      </c>
      <c r="G35" s="373"/>
      <c r="H35" s="374">
        <v>0.8</v>
      </c>
      <c r="J35" s="570" t="s">
        <v>521</v>
      </c>
      <c r="K35" s="571"/>
      <c r="L35" s="369">
        <v>1.5</v>
      </c>
      <c r="R35" s="511">
        <v>7</v>
      </c>
      <c r="S35" s="32" t="s">
        <v>124</v>
      </c>
      <c r="T35" s="366">
        <f>L9</f>
        <v>9.6999999999999993</v>
      </c>
      <c r="U35" s="366">
        <f t="shared" si="5"/>
        <v>11.445999999999998</v>
      </c>
      <c r="V35" s="386">
        <v>25</v>
      </c>
      <c r="W35" s="386">
        <f t="shared" si="6"/>
        <v>13.554000000000002</v>
      </c>
      <c r="X35" s="385">
        <v>2.4249999999999998</v>
      </c>
      <c r="Y35" s="11">
        <f t="shared" si="4"/>
        <v>2.8614999999999995</v>
      </c>
      <c r="Z35" s="386">
        <v>7</v>
      </c>
      <c r="AA35" s="386">
        <f t="shared" si="7"/>
        <v>4.1385000000000005</v>
      </c>
    </row>
    <row r="36" spans="6:27" ht="15" customHeight="1" x14ac:dyDescent="0.3">
      <c r="F36" s="584" t="s">
        <v>211</v>
      </c>
      <c r="G36" s="585"/>
      <c r="H36" s="370">
        <f>SUM(H32:H35)</f>
        <v>10.555000000000001</v>
      </c>
      <c r="J36" s="377" t="s">
        <v>522</v>
      </c>
      <c r="K36" s="38"/>
      <c r="L36" s="381">
        <v>0.26</v>
      </c>
      <c r="R36" s="511">
        <v>8</v>
      </c>
      <c r="S36" s="32" t="s">
        <v>125</v>
      </c>
      <c r="T36" s="366">
        <f>L18</f>
        <v>8.4</v>
      </c>
      <c r="U36" s="366">
        <f t="shared" si="5"/>
        <v>9.911999999999999</v>
      </c>
      <c r="V36" s="386">
        <v>25</v>
      </c>
      <c r="W36" s="386">
        <f t="shared" si="6"/>
        <v>15.088000000000001</v>
      </c>
      <c r="X36" s="385">
        <v>2.1625000000000001</v>
      </c>
      <c r="Y36" s="11">
        <f t="shared" si="4"/>
        <v>2.5517500000000002</v>
      </c>
      <c r="Z36" s="386">
        <v>7</v>
      </c>
      <c r="AA36" s="386">
        <f t="shared" si="7"/>
        <v>4.4482499999999998</v>
      </c>
    </row>
    <row r="37" spans="6:27" x14ac:dyDescent="0.3">
      <c r="F37" s="375"/>
      <c r="G37" s="375"/>
      <c r="H37" s="376"/>
      <c r="J37" s="575" t="s">
        <v>211</v>
      </c>
      <c r="K37" s="575"/>
      <c r="L37" s="370">
        <f>SUM(L33:L36)</f>
        <v>6.76</v>
      </c>
      <c r="R37" s="511">
        <v>9</v>
      </c>
      <c r="S37" s="32" t="s">
        <v>126</v>
      </c>
      <c r="T37" s="366">
        <f>L28</f>
        <v>9.4499999999999993</v>
      </c>
      <c r="U37" s="366">
        <f t="shared" si="5"/>
        <v>11.150999999999998</v>
      </c>
      <c r="V37" s="386">
        <v>30</v>
      </c>
      <c r="W37" s="386">
        <f t="shared" si="6"/>
        <v>18.849000000000004</v>
      </c>
      <c r="X37" s="385">
        <v>2.3624999999999998</v>
      </c>
      <c r="Y37" s="11">
        <f t="shared" si="4"/>
        <v>2.7877499999999995</v>
      </c>
      <c r="Z37" s="386">
        <v>8</v>
      </c>
      <c r="AA37" s="386">
        <f t="shared" si="7"/>
        <v>5.2122500000000009</v>
      </c>
    </row>
    <row r="38" spans="6:27" x14ac:dyDescent="0.3">
      <c r="F38" s="576" t="s">
        <v>483</v>
      </c>
      <c r="G38" s="576"/>
      <c r="H38" s="576"/>
      <c r="J38" s="375"/>
      <c r="K38" s="375"/>
      <c r="L38" s="375"/>
      <c r="R38" s="511">
        <v>10</v>
      </c>
      <c r="S38" s="32" t="s">
        <v>127</v>
      </c>
      <c r="T38" s="366">
        <f>L37</f>
        <v>6.76</v>
      </c>
      <c r="U38" s="366">
        <f t="shared" si="5"/>
        <v>7.976799999999999</v>
      </c>
      <c r="V38" s="386">
        <v>25</v>
      </c>
      <c r="W38" s="386">
        <f t="shared" si="6"/>
        <v>17.023200000000003</v>
      </c>
      <c r="X38" s="385">
        <v>1.8774999999999999</v>
      </c>
      <c r="Y38" s="11">
        <f t="shared" si="4"/>
        <v>2.2154499999999997</v>
      </c>
      <c r="Z38" s="386">
        <v>7</v>
      </c>
      <c r="AA38" s="386">
        <f t="shared" si="7"/>
        <v>4.7845500000000003</v>
      </c>
    </row>
    <row r="39" spans="6:27" x14ac:dyDescent="0.3">
      <c r="F39" s="584" t="s">
        <v>469</v>
      </c>
      <c r="G39" s="585"/>
      <c r="H39" s="368" t="s">
        <v>470</v>
      </c>
      <c r="J39" s="576" t="s">
        <v>523</v>
      </c>
      <c r="K39" s="576"/>
      <c r="L39" s="576"/>
      <c r="R39" s="511">
        <v>11</v>
      </c>
      <c r="S39" s="32" t="s">
        <v>128</v>
      </c>
      <c r="T39" s="366">
        <f>L43</f>
        <v>30.74</v>
      </c>
      <c r="U39" s="366">
        <f t="shared" si="5"/>
        <v>36.273199999999996</v>
      </c>
      <c r="V39" s="386">
        <v>40</v>
      </c>
      <c r="W39" s="386">
        <f t="shared" si="6"/>
        <v>3.7268000000000043</v>
      </c>
      <c r="X39" s="385">
        <v>7.6849999999999996</v>
      </c>
      <c r="Y39" s="11">
        <f t="shared" si="4"/>
        <v>9.0682999999999989</v>
      </c>
      <c r="Z39" s="386">
        <v>10</v>
      </c>
      <c r="AA39" s="386">
        <f t="shared" si="7"/>
        <v>0.93170000000000108</v>
      </c>
    </row>
    <row r="40" spans="6:27" x14ac:dyDescent="0.3">
      <c r="F40" s="371" t="s">
        <v>484</v>
      </c>
      <c r="G40" s="372"/>
      <c r="H40" s="369">
        <v>5.2</v>
      </c>
      <c r="J40" s="582" t="s">
        <v>469</v>
      </c>
      <c r="K40" s="583"/>
      <c r="L40" s="368" t="s">
        <v>470</v>
      </c>
      <c r="R40" s="511">
        <v>12</v>
      </c>
      <c r="S40" s="32" t="s">
        <v>129</v>
      </c>
      <c r="T40" s="366">
        <f>L51</f>
        <v>11.375</v>
      </c>
      <c r="U40" s="366">
        <f t="shared" si="5"/>
        <v>13.422499999999999</v>
      </c>
      <c r="V40" s="386">
        <v>20</v>
      </c>
      <c r="W40" s="386">
        <f t="shared" si="6"/>
        <v>6.5775000000000006</v>
      </c>
      <c r="X40" s="385">
        <v>3.0812499999999998</v>
      </c>
      <c r="Y40" s="11">
        <f t="shared" si="4"/>
        <v>3.6358749999999995</v>
      </c>
      <c r="Z40" s="386">
        <v>5</v>
      </c>
      <c r="AA40" s="386">
        <f>Z40-Y40</f>
        <v>1.3641250000000005</v>
      </c>
    </row>
    <row r="41" spans="6:27" x14ac:dyDescent="0.3">
      <c r="F41" s="371" t="s">
        <v>485</v>
      </c>
      <c r="G41" s="372"/>
      <c r="H41" s="369">
        <v>1.5</v>
      </c>
      <c r="J41" s="570" t="s">
        <v>524</v>
      </c>
      <c r="K41" s="571"/>
      <c r="L41" s="369">
        <v>30.4</v>
      </c>
      <c r="R41" s="511">
        <v>13</v>
      </c>
      <c r="S41" s="32" t="s">
        <v>130</v>
      </c>
      <c r="T41" s="366">
        <f>P7</f>
        <v>28.84</v>
      </c>
      <c r="U41" s="366">
        <f>T41*1.18</f>
        <v>34.031199999999998</v>
      </c>
      <c r="V41" s="386">
        <v>50</v>
      </c>
      <c r="W41" s="386">
        <f t="shared" si="6"/>
        <v>15.968800000000002</v>
      </c>
      <c r="X41" s="385">
        <v>7.21</v>
      </c>
      <c r="Y41" s="11">
        <f t="shared" si="4"/>
        <v>8.5077999999999996</v>
      </c>
      <c r="Z41" s="386">
        <v>10</v>
      </c>
      <c r="AA41" s="386">
        <f t="shared" si="7"/>
        <v>1.4922000000000004</v>
      </c>
    </row>
    <row r="42" spans="6:27" x14ac:dyDescent="0.3">
      <c r="F42" s="371" t="s">
        <v>486</v>
      </c>
      <c r="G42" s="372"/>
      <c r="H42" s="369">
        <v>2</v>
      </c>
      <c r="J42" s="570" t="s">
        <v>509</v>
      </c>
      <c r="K42" s="571"/>
      <c r="L42" s="369">
        <v>0.34</v>
      </c>
      <c r="R42" s="511">
        <v>14</v>
      </c>
      <c r="S42" s="32" t="s">
        <v>142</v>
      </c>
      <c r="T42" s="366">
        <f>P14</f>
        <v>10.34</v>
      </c>
      <c r="U42" s="366">
        <f t="shared" si="5"/>
        <v>12.2012</v>
      </c>
      <c r="V42" s="386">
        <v>21</v>
      </c>
      <c r="W42" s="386">
        <f t="shared" si="6"/>
        <v>8.7988</v>
      </c>
      <c r="X42" s="385">
        <v>3.085</v>
      </c>
      <c r="Y42" s="11">
        <f t="shared" si="4"/>
        <v>3.6402999999999999</v>
      </c>
      <c r="Z42" s="386">
        <v>10</v>
      </c>
      <c r="AA42" s="386">
        <f>Z42-Y42</f>
        <v>6.3597000000000001</v>
      </c>
    </row>
    <row r="43" spans="6:27" x14ac:dyDescent="0.3">
      <c r="F43" s="371" t="s">
        <v>487</v>
      </c>
      <c r="G43" s="372"/>
      <c r="H43" s="369">
        <v>0.25</v>
      </c>
      <c r="J43" s="575" t="s">
        <v>211</v>
      </c>
      <c r="K43" s="575"/>
      <c r="L43" s="370">
        <f>SUM(L41:L42)</f>
        <v>30.74</v>
      </c>
      <c r="R43" s="511">
        <v>15</v>
      </c>
      <c r="S43" s="32" t="s">
        <v>143</v>
      </c>
      <c r="T43" s="366">
        <f>P21</f>
        <v>14.74</v>
      </c>
      <c r="U43" s="366">
        <f t="shared" si="5"/>
        <v>17.3932</v>
      </c>
      <c r="V43" s="386">
        <v>23</v>
      </c>
      <c r="W43" s="386">
        <f t="shared" si="6"/>
        <v>5.6067999999999998</v>
      </c>
      <c r="X43" s="385">
        <v>3.6850000000000001</v>
      </c>
      <c r="Y43" s="11">
        <f t="shared" si="4"/>
        <v>4.3483000000000001</v>
      </c>
      <c r="Z43" s="386">
        <v>7</v>
      </c>
      <c r="AA43" s="386">
        <f t="shared" si="7"/>
        <v>2.6516999999999999</v>
      </c>
    </row>
    <row r="44" spans="6:27" ht="15" customHeight="1" x14ac:dyDescent="0.3">
      <c r="F44" s="371" t="s">
        <v>488</v>
      </c>
      <c r="G44" s="373"/>
      <c r="H44" s="374">
        <v>0.7</v>
      </c>
      <c r="J44" s="375"/>
      <c r="K44" s="375"/>
      <c r="L44" s="375"/>
      <c r="R44" s="511">
        <v>16</v>
      </c>
      <c r="S44" s="32" t="s">
        <v>144</v>
      </c>
      <c r="T44" s="366">
        <f>P27</f>
        <v>12.34</v>
      </c>
      <c r="U44" s="366">
        <f t="shared" si="5"/>
        <v>14.561199999999999</v>
      </c>
      <c r="V44" s="386">
        <v>20</v>
      </c>
      <c r="W44" s="386">
        <f t="shared" si="6"/>
        <v>5.4388000000000005</v>
      </c>
      <c r="X44" s="385">
        <v>3.085</v>
      </c>
      <c r="Y44" s="11">
        <f t="shared" si="4"/>
        <v>3.6402999999999999</v>
      </c>
      <c r="Z44" s="386">
        <v>5</v>
      </c>
      <c r="AA44" s="386">
        <f t="shared" si="7"/>
        <v>1.3597000000000001</v>
      </c>
    </row>
    <row r="45" spans="6:27" x14ac:dyDescent="0.3">
      <c r="F45" s="584" t="s">
        <v>211</v>
      </c>
      <c r="G45" s="585"/>
      <c r="H45" s="370">
        <f>SUM(H40:H44)</f>
        <v>9.6499999999999986</v>
      </c>
      <c r="J45" s="581" t="s">
        <v>525</v>
      </c>
      <c r="K45" s="581"/>
      <c r="L45" s="581"/>
      <c r="R45" s="511">
        <v>17</v>
      </c>
      <c r="S45" s="32" t="s">
        <v>145</v>
      </c>
      <c r="T45" s="366">
        <f>P33</f>
        <v>11.34</v>
      </c>
      <c r="U45" s="366">
        <f t="shared" si="5"/>
        <v>13.3812</v>
      </c>
      <c r="V45" s="386">
        <v>25</v>
      </c>
      <c r="W45" s="386">
        <f t="shared" si="6"/>
        <v>11.6188</v>
      </c>
      <c r="X45" s="385">
        <v>3.6850000000000001</v>
      </c>
      <c r="Y45" s="11">
        <f t="shared" si="4"/>
        <v>4.3483000000000001</v>
      </c>
      <c r="Z45" s="386">
        <v>8</v>
      </c>
      <c r="AA45" s="386">
        <f t="shared" si="7"/>
        <v>3.6516999999999999</v>
      </c>
    </row>
    <row r="46" spans="6:27" ht="15" customHeight="1" x14ac:dyDescent="0.3">
      <c r="F46" s="375"/>
      <c r="G46" s="375"/>
      <c r="H46" s="376"/>
      <c r="J46" s="572" t="s">
        <v>469</v>
      </c>
      <c r="K46" s="572"/>
      <c r="L46" s="382" t="s">
        <v>470</v>
      </c>
    </row>
    <row r="47" spans="6:27" x14ac:dyDescent="0.3">
      <c r="J47" s="570" t="s">
        <v>546</v>
      </c>
      <c r="K47" s="571"/>
      <c r="L47" s="369">
        <v>6</v>
      </c>
    </row>
    <row r="48" spans="6:27" x14ac:dyDescent="0.3">
      <c r="J48" s="377" t="s">
        <v>526</v>
      </c>
      <c r="K48" s="378"/>
      <c r="L48" s="383">
        <v>7.4999999999999997E-2</v>
      </c>
      <c r="S48" s="580" t="s">
        <v>537</v>
      </c>
      <c r="T48" s="580"/>
      <c r="U48" s="580"/>
      <c r="V48" s="580"/>
      <c r="W48" s="580"/>
      <c r="X48" s="580"/>
    </row>
    <row r="49" spans="10:24" x14ac:dyDescent="0.3">
      <c r="J49" s="570" t="s">
        <v>527</v>
      </c>
      <c r="K49" s="571"/>
      <c r="L49" s="369">
        <v>3.8</v>
      </c>
      <c r="R49" s="548" t="s">
        <v>131</v>
      </c>
      <c r="S49" s="391" t="s">
        <v>538</v>
      </c>
      <c r="T49" s="392" t="s">
        <v>539</v>
      </c>
      <c r="U49" s="393" t="s">
        <v>659</v>
      </c>
      <c r="V49" s="393" t="s">
        <v>540</v>
      </c>
      <c r="W49" s="393" t="s">
        <v>541</v>
      </c>
      <c r="X49" s="393" t="s">
        <v>542</v>
      </c>
    </row>
    <row r="50" spans="10:24" x14ac:dyDescent="0.3">
      <c r="J50" s="377" t="s">
        <v>545</v>
      </c>
      <c r="K50" s="38"/>
      <c r="L50" s="381">
        <v>1.5</v>
      </c>
      <c r="R50" s="511">
        <v>1</v>
      </c>
      <c r="S50" s="27" t="s">
        <v>103</v>
      </c>
      <c r="T50" s="394">
        <v>180</v>
      </c>
      <c r="U50" s="395">
        <f>+T50</f>
        <v>180</v>
      </c>
      <c r="V50" s="144">
        <f>108*3</f>
        <v>324</v>
      </c>
      <c r="W50" s="144">
        <f>U50*12</f>
        <v>2160</v>
      </c>
      <c r="X50" s="396">
        <f>W50*X29</f>
        <v>6825.6</v>
      </c>
    </row>
    <row r="51" spans="10:24" x14ac:dyDescent="0.3">
      <c r="J51" s="572" t="s">
        <v>211</v>
      </c>
      <c r="K51" s="572"/>
      <c r="L51" s="370">
        <f>SUM(L47:L50)</f>
        <v>11.375</v>
      </c>
      <c r="R51" s="511">
        <v>2</v>
      </c>
      <c r="S51" s="32" t="s">
        <v>118</v>
      </c>
      <c r="T51" s="394">
        <v>18</v>
      </c>
      <c r="U51" s="395">
        <f t="shared" ref="U51:U66" si="8">+T51</f>
        <v>18</v>
      </c>
      <c r="V51" s="144">
        <f t="shared" ref="V51:V66" si="9">U51*3</f>
        <v>54</v>
      </c>
      <c r="W51" s="144">
        <f>U51*12</f>
        <v>216</v>
      </c>
      <c r="X51" s="396">
        <f>W51*T30</f>
        <v>1622.1599999999999</v>
      </c>
    </row>
    <row r="52" spans="10:24" x14ac:dyDescent="0.3">
      <c r="R52" s="511">
        <v>3</v>
      </c>
      <c r="S52" s="32" t="s">
        <v>120</v>
      </c>
      <c r="T52" s="394">
        <v>15</v>
      </c>
      <c r="U52" s="395">
        <f t="shared" si="8"/>
        <v>15</v>
      </c>
      <c r="V52" s="144">
        <f t="shared" si="9"/>
        <v>45</v>
      </c>
      <c r="W52" s="144">
        <f>U52*12</f>
        <v>180</v>
      </c>
      <c r="X52" s="396">
        <f>W52*T31</f>
        <v>2160</v>
      </c>
    </row>
    <row r="53" spans="10:24" ht="15" customHeight="1" x14ac:dyDescent="0.3">
      <c r="R53" s="511">
        <v>4</v>
      </c>
      <c r="S53" s="32" t="s">
        <v>121</v>
      </c>
      <c r="T53" s="394">
        <v>6</v>
      </c>
      <c r="U53" s="395">
        <f t="shared" si="8"/>
        <v>6</v>
      </c>
      <c r="V53" s="144">
        <f t="shared" si="9"/>
        <v>18</v>
      </c>
      <c r="W53" s="144">
        <f>U53*12</f>
        <v>72</v>
      </c>
      <c r="X53" s="396">
        <f>W53*T32</f>
        <v>1008</v>
      </c>
    </row>
    <row r="54" spans="10:24" x14ac:dyDescent="0.3">
      <c r="R54" s="511">
        <v>5</v>
      </c>
      <c r="S54" s="32" t="s">
        <v>122</v>
      </c>
      <c r="T54" s="394">
        <v>10</v>
      </c>
      <c r="U54" s="395">
        <f t="shared" si="8"/>
        <v>10</v>
      </c>
      <c r="V54" s="144">
        <f t="shared" si="9"/>
        <v>30</v>
      </c>
      <c r="W54" s="144">
        <f t="shared" ref="W54:W66" si="10">U54*12</f>
        <v>120</v>
      </c>
      <c r="X54" s="396">
        <f>W54*T33</f>
        <v>1266.6000000000001</v>
      </c>
    </row>
    <row r="55" spans="10:24" ht="15" customHeight="1" x14ac:dyDescent="0.3">
      <c r="R55" s="511">
        <v>6</v>
      </c>
      <c r="S55" s="32" t="s">
        <v>123</v>
      </c>
      <c r="T55" s="394">
        <v>8</v>
      </c>
      <c r="U55" s="395">
        <f t="shared" si="8"/>
        <v>8</v>
      </c>
      <c r="V55" s="144">
        <f t="shared" si="9"/>
        <v>24</v>
      </c>
      <c r="W55" s="144">
        <f t="shared" si="10"/>
        <v>96</v>
      </c>
      <c r="X55" s="396">
        <f t="shared" ref="X55:X57" si="11">W55*T34</f>
        <v>926.39999999999986</v>
      </c>
    </row>
    <row r="56" spans="10:24" x14ac:dyDescent="0.3">
      <c r="R56" s="511">
        <v>7</v>
      </c>
      <c r="S56" s="32" t="s">
        <v>124</v>
      </c>
      <c r="T56" s="394">
        <v>10</v>
      </c>
      <c r="U56" s="395">
        <f t="shared" si="8"/>
        <v>10</v>
      </c>
      <c r="V56" s="144">
        <f t="shared" si="9"/>
        <v>30</v>
      </c>
      <c r="W56" s="144">
        <f t="shared" si="10"/>
        <v>120</v>
      </c>
      <c r="X56" s="396">
        <f t="shared" si="11"/>
        <v>1164</v>
      </c>
    </row>
    <row r="57" spans="10:24" x14ac:dyDescent="0.3">
      <c r="R57" s="511">
        <v>8</v>
      </c>
      <c r="S57" s="32" t="s">
        <v>125</v>
      </c>
      <c r="T57" s="394">
        <v>6</v>
      </c>
      <c r="U57" s="395">
        <f t="shared" si="8"/>
        <v>6</v>
      </c>
      <c r="V57" s="144">
        <f t="shared" si="9"/>
        <v>18</v>
      </c>
      <c r="W57" s="144">
        <f t="shared" si="10"/>
        <v>72</v>
      </c>
      <c r="X57" s="396">
        <f t="shared" si="11"/>
        <v>604.80000000000007</v>
      </c>
    </row>
    <row r="58" spans="10:24" x14ac:dyDescent="0.3">
      <c r="R58" s="511">
        <v>9</v>
      </c>
      <c r="S58" s="32" t="s">
        <v>126</v>
      </c>
      <c r="T58" s="394">
        <v>8</v>
      </c>
      <c r="U58" s="395">
        <f t="shared" si="8"/>
        <v>8</v>
      </c>
      <c r="V58" s="144">
        <f t="shared" si="9"/>
        <v>24</v>
      </c>
      <c r="W58" s="144">
        <f t="shared" si="10"/>
        <v>96</v>
      </c>
      <c r="X58" s="396">
        <f>W58*T37</f>
        <v>907.19999999999993</v>
      </c>
    </row>
    <row r="59" spans="10:24" x14ac:dyDescent="0.3">
      <c r="R59" s="511">
        <v>10</v>
      </c>
      <c r="S59" s="32" t="s">
        <v>127</v>
      </c>
      <c r="T59" s="394">
        <v>12</v>
      </c>
      <c r="U59" s="395">
        <f t="shared" si="8"/>
        <v>12</v>
      </c>
      <c r="V59" s="144">
        <f t="shared" si="9"/>
        <v>36</v>
      </c>
      <c r="W59" s="144">
        <f>U59*12</f>
        <v>144</v>
      </c>
      <c r="X59" s="396">
        <f t="shared" ref="X59:X61" si="12">W59*T38</f>
        <v>973.43999999999994</v>
      </c>
    </row>
    <row r="60" spans="10:24" x14ac:dyDescent="0.3">
      <c r="R60" s="511">
        <v>11</v>
      </c>
      <c r="S60" s="32" t="s">
        <v>128</v>
      </c>
      <c r="T60" s="394">
        <v>5</v>
      </c>
      <c r="U60" s="395">
        <f>+T60</f>
        <v>5</v>
      </c>
      <c r="V60" s="395">
        <f t="shared" si="9"/>
        <v>15</v>
      </c>
      <c r="W60" s="144">
        <f t="shared" si="10"/>
        <v>60</v>
      </c>
      <c r="X60" s="396">
        <f t="shared" si="12"/>
        <v>1844.3999999999999</v>
      </c>
    </row>
    <row r="61" spans="10:24" ht="15" customHeight="1" x14ac:dyDescent="0.3">
      <c r="R61" s="511">
        <v>12</v>
      </c>
      <c r="S61" s="32" t="s">
        <v>129</v>
      </c>
      <c r="T61" s="394">
        <v>10</v>
      </c>
      <c r="U61" s="395">
        <f t="shared" si="8"/>
        <v>10</v>
      </c>
      <c r="V61" s="395">
        <f t="shared" si="9"/>
        <v>30</v>
      </c>
      <c r="W61" s="144">
        <f t="shared" si="10"/>
        <v>120</v>
      </c>
      <c r="X61" s="396">
        <f t="shared" si="12"/>
        <v>1365</v>
      </c>
    </row>
    <row r="62" spans="10:24" x14ac:dyDescent="0.3">
      <c r="R62" s="511">
        <v>13</v>
      </c>
      <c r="S62" s="32" t="s">
        <v>130</v>
      </c>
      <c r="T62" s="394">
        <v>6</v>
      </c>
      <c r="U62" s="395">
        <f t="shared" si="8"/>
        <v>6</v>
      </c>
      <c r="V62" s="395">
        <f t="shared" si="9"/>
        <v>18</v>
      </c>
      <c r="W62" s="144">
        <f t="shared" si="10"/>
        <v>72</v>
      </c>
      <c r="X62" s="396">
        <f>W62*T41</f>
        <v>2076.48</v>
      </c>
    </row>
    <row r="63" spans="10:24" ht="15" customHeight="1" x14ac:dyDescent="0.3">
      <c r="R63" s="511">
        <v>14</v>
      </c>
      <c r="S63" s="32" t="s">
        <v>142</v>
      </c>
      <c r="T63" s="394">
        <v>8.0833333333333339</v>
      </c>
      <c r="U63" s="395">
        <f t="shared" si="8"/>
        <v>8.0833333333333339</v>
      </c>
      <c r="V63" s="395">
        <f t="shared" si="9"/>
        <v>24.25</v>
      </c>
      <c r="W63" s="144">
        <f t="shared" si="10"/>
        <v>97</v>
      </c>
      <c r="X63" s="396">
        <f t="shared" ref="X63:X65" si="13">W63*T42</f>
        <v>1002.98</v>
      </c>
    </row>
    <row r="64" spans="10:24" x14ac:dyDescent="0.3">
      <c r="R64" s="511">
        <v>15</v>
      </c>
      <c r="S64" s="32" t="s">
        <v>143</v>
      </c>
      <c r="T64" s="394">
        <v>7.083333333333333</v>
      </c>
      <c r="U64" s="395">
        <f t="shared" si="8"/>
        <v>7.083333333333333</v>
      </c>
      <c r="V64" s="395">
        <f t="shared" si="9"/>
        <v>21.25</v>
      </c>
      <c r="W64" s="144">
        <f t="shared" si="10"/>
        <v>85</v>
      </c>
      <c r="X64" s="396">
        <f t="shared" si="13"/>
        <v>1252.9000000000001</v>
      </c>
    </row>
    <row r="65" spans="18:24" ht="15" customHeight="1" x14ac:dyDescent="0.3">
      <c r="R65" s="511">
        <v>16</v>
      </c>
      <c r="S65" s="32" t="s">
        <v>144</v>
      </c>
      <c r="T65" s="394">
        <v>6.75</v>
      </c>
      <c r="U65" s="395">
        <f t="shared" si="8"/>
        <v>6.75</v>
      </c>
      <c r="V65" s="395">
        <f t="shared" si="9"/>
        <v>20.25</v>
      </c>
      <c r="W65" s="144">
        <f t="shared" si="10"/>
        <v>81</v>
      </c>
      <c r="X65" s="396">
        <f t="shared" si="13"/>
        <v>999.54</v>
      </c>
    </row>
    <row r="66" spans="18:24" x14ac:dyDescent="0.3">
      <c r="R66" s="511">
        <v>17</v>
      </c>
      <c r="S66" s="32" t="s">
        <v>145</v>
      </c>
      <c r="T66" s="394">
        <v>7.583333333333333</v>
      </c>
      <c r="U66" s="395">
        <f t="shared" si="8"/>
        <v>7.583333333333333</v>
      </c>
      <c r="V66" s="395">
        <f t="shared" si="9"/>
        <v>22.75</v>
      </c>
      <c r="W66" s="144">
        <f t="shared" si="10"/>
        <v>91</v>
      </c>
      <c r="X66" s="396">
        <f t="shared" ref="X66" si="14">W66*X45</f>
        <v>335.33499999999998</v>
      </c>
    </row>
    <row r="67" spans="18:24" x14ac:dyDescent="0.3">
      <c r="T67" s="24"/>
      <c r="X67" s="435">
        <f>SUM(X50:X66)</f>
        <v>26334.834999999999</v>
      </c>
    </row>
    <row r="72" spans="18:24" ht="15" customHeight="1" x14ac:dyDescent="0.3"/>
    <row r="75" spans="18:24" ht="15" customHeight="1" x14ac:dyDescent="0.3"/>
    <row r="82" ht="15" customHeight="1" x14ac:dyDescent="0.3"/>
    <row r="84" ht="15" customHeight="1" x14ac:dyDescent="0.3"/>
    <row r="88" ht="15" customHeight="1" x14ac:dyDescent="0.3"/>
    <row r="90" ht="15" customHeight="1" x14ac:dyDescent="0.3"/>
    <row r="96" ht="15" customHeight="1" x14ac:dyDescent="0.3"/>
    <row r="99" ht="15" customHeight="1" x14ac:dyDescent="0.3"/>
    <row r="104" ht="15" customHeight="1" x14ac:dyDescent="0.3"/>
    <row r="106" ht="15" customHeight="1" x14ac:dyDescent="0.3"/>
    <row r="109" ht="15" customHeight="1" x14ac:dyDescent="0.3"/>
    <row r="111" ht="15" customHeight="1" x14ac:dyDescent="0.3"/>
    <row r="114" ht="15" customHeight="1" x14ac:dyDescent="0.3"/>
    <row r="116" ht="15" customHeight="1" x14ac:dyDescent="0.3"/>
    <row r="119" ht="15" customHeight="1" x14ac:dyDescent="0.3"/>
    <row r="121" ht="15" customHeight="1" x14ac:dyDescent="0.3"/>
    <row r="124" ht="15" customHeight="1" x14ac:dyDescent="0.3"/>
  </sheetData>
  <mergeCells count="86">
    <mergeCell ref="N25:O25"/>
    <mergeCell ref="N26:O26"/>
    <mergeCell ref="N27:O27"/>
    <mergeCell ref="N29:P29"/>
    <mergeCell ref="J25:K25"/>
    <mergeCell ref="F18:H18"/>
    <mergeCell ref="J18:K18"/>
    <mergeCell ref="N21:O21"/>
    <mergeCell ref="N23:P23"/>
    <mergeCell ref="N24:O24"/>
    <mergeCell ref="N20:O20"/>
    <mergeCell ref="J22:K22"/>
    <mergeCell ref="W5:Y5"/>
    <mergeCell ref="R5:R6"/>
    <mergeCell ref="S5:S6"/>
    <mergeCell ref="T5:V5"/>
    <mergeCell ref="A2:D2"/>
    <mergeCell ref="F3:H3"/>
    <mergeCell ref="F4:G4"/>
    <mergeCell ref="F5:G5"/>
    <mergeCell ref="N3:P3"/>
    <mergeCell ref="N4:O4"/>
    <mergeCell ref="N5:O5"/>
    <mergeCell ref="N6:O6"/>
    <mergeCell ref="F45:G45"/>
    <mergeCell ref="F39:G39"/>
    <mergeCell ref="F19:G19"/>
    <mergeCell ref="F21:G21"/>
    <mergeCell ref="F24:H24"/>
    <mergeCell ref="F25:G25"/>
    <mergeCell ref="F27:G27"/>
    <mergeCell ref="F30:H30"/>
    <mergeCell ref="F31:G31"/>
    <mergeCell ref="F36:G36"/>
    <mergeCell ref="F38:H38"/>
    <mergeCell ref="F15:G15"/>
    <mergeCell ref="J3:L3"/>
    <mergeCell ref="J4:K4"/>
    <mergeCell ref="J9:K9"/>
    <mergeCell ref="J11:L11"/>
    <mergeCell ref="J12:K12"/>
    <mergeCell ref="N7:O7"/>
    <mergeCell ref="Z27:Z28"/>
    <mergeCell ref="Y27:Y28"/>
    <mergeCell ref="J40:K40"/>
    <mergeCell ref="F6:G6"/>
    <mergeCell ref="F9:H9"/>
    <mergeCell ref="F10:G10"/>
    <mergeCell ref="N11:O11"/>
    <mergeCell ref="N12:O12"/>
    <mergeCell ref="N13:O13"/>
    <mergeCell ref="N14:O14"/>
    <mergeCell ref="N17:P17"/>
    <mergeCell ref="N18:O18"/>
    <mergeCell ref="N19:O19"/>
    <mergeCell ref="R24:S24"/>
    <mergeCell ref="J21:L21"/>
    <mergeCell ref="S26:AA26"/>
    <mergeCell ref="AA27:AA28"/>
    <mergeCell ref="S48:X48"/>
    <mergeCell ref="J41:K41"/>
    <mergeCell ref="J42:K42"/>
    <mergeCell ref="J43:K43"/>
    <mergeCell ref="J45:L45"/>
    <mergeCell ref="J46:K46"/>
    <mergeCell ref="N30:O30"/>
    <mergeCell ref="N31:O31"/>
    <mergeCell ref="N32:O32"/>
    <mergeCell ref="N33:O33"/>
    <mergeCell ref="U27:U28"/>
    <mergeCell ref="V27:V28"/>
    <mergeCell ref="W27:W28"/>
    <mergeCell ref="X27:X28"/>
    <mergeCell ref="J47:K47"/>
    <mergeCell ref="J49:K49"/>
    <mergeCell ref="J51:K51"/>
    <mergeCell ref="S27:S28"/>
    <mergeCell ref="T27:T28"/>
    <mergeCell ref="J28:K28"/>
    <mergeCell ref="J31:L31"/>
    <mergeCell ref="J32:K32"/>
    <mergeCell ref="J33:K33"/>
    <mergeCell ref="J35:K35"/>
    <mergeCell ref="J37:K37"/>
    <mergeCell ref="J39:L39"/>
    <mergeCell ref="R27:R28"/>
  </mergeCells>
  <hyperlinks>
    <hyperlink ref="B1" location="INDICE!A1" display="INDICE"/>
  </hyperlink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</sheetPr>
  <dimension ref="A1:I16"/>
  <sheetViews>
    <sheetView workbookViewId="0">
      <selection activeCell="D8" sqref="D8"/>
    </sheetView>
  </sheetViews>
  <sheetFormatPr baseColWidth="10" defaultRowHeight="13.5" x14ac:dyDescent="0.25"/>
  <cols>
    <col min="1" max="2" width="13.625" style="274" customWidth="1"/>
    <col min="3" max="3" width="13" style="274" customWidth="1"/>
    <col min="4" max="4" width="12.5" style="274" customWidth="1"/>
    <col min="5" max="5" width="10.375" style="274" customWidth="1"/>
    <col min="6" max="6" width="14.375" style="274" customWidth="1"/>
    <col min="7" max="16384" width="11" style="274"/>
  </cols>
  <sheetData>
    <row r="1" spans="1:9" ht="16.5" x14ac:dyDescent="0.3">
      <c r="A1" s="514" t="s">
        <v>464</v>
      </c>
    </row>
    <row r="2" spans="1:9" ht="18.75" x14ac:dyDescent="0.3">
      <c r="A2" s="600" t="s">
        <v>424</v>
      </c>
      <c r="B2" s="600"/>
      <c r="C2" s="600"/>
      <c r="D2" s="600"/>
      <c r="E2" s="600"/>
    </row>
    <row r="4" spans="1:9" ht="14.25" x14ac:dyDescent="0.3">
      <c r="A4" s="601" t="s">
        <v>425</v>
      </c>
      <c r="B4" s="602" t="s">
        <v>426</v>
      </c>
      <c r="C4" s="602"/>
      <c r="D4" s="602"/>
      <c r="E4" s="602"/>
    </row>
    <row r="5" spans="1:9" ht="28.5" x14ac:dyDescent="0.25">
      <c r="A5" s="601"/>
      <c r="B5" s="322" t="s">
        <v>427</v>
      </c>
      <c r="C5" s="322" t="s">
        <v>428</v>
      </c>
      <c r="D5" s="322" t="s">
        <v>28</v>
      </c>
      <c r="E5" s="322" t="s">
        <v>213</v>
      </c>
    </row>
    <row r="6" spans="1:9" ht="16.5" x14ac:dyDescent="0.3">
      <c r="A6" s="316" t="s">
        <v>429</v>
      </c>
      <c r="B6" s="317">
        <f>B8-B7</f>
        <v>9530.7999999999993</v>
      </c>
      <c r="C6" s="317">
        <f>C8-C7</f>
        <v>34415.440000000002</v>
      </c>
      <c r="D6" s="317">
        <f>SUM(B6:C6)</f>
        <v>43946.240000000005</v>
      </c>
      <c r="E6" s="318">
        <f>(D6*E7)/D7</f>
        <v>0.8146302689492354</v>
      </c>
    </row>
    <row r="7" spans="1:9" ht="16.5" x14ac:dyDescent="0.3">
      <c r="A7" s="316" t="s">
        <v>430</v>
      </c>
      <c r="B7" s="317">
        <v>8000</v>
      </c>
      <c r="C7" s="317">
        <v>2000</v>
      </c>
      <c r="D7" s="317">
        <f>SUM(B7:C7)</f>
        <v>10000</v>
      </c>
      <c r="E7" s="318">
        <f>(D7*E8)/D8</f>
        <v>0.1853697310507646</v>
      </c>
    </row>
    <row r="8" spans="1:9" ht="15.75" x14ac:dyDescent="0.3">
      <c r="A8" s="319" t="s">
        <v>28</v>
      </c>
      <c r="B8" s="320">
        <f>+'INVERSION TOTAL'!E48</f>
        <v>17530.8</v>
      </c>
      <c r="C8" s="320">
        <f>+'INVERSION TOTAL'!E71</f>
        <v>36415.440000000002</v>
      </c>
      <c r="D8" s="320">
        <f>SUM(B8:C8)</f>
        <v>53946.240000000005</v>
      </c>
      <c r="E8" s="321">
        <v>1</v>
      </c>
    </row>
    <row r="9" spans="1:9" x14ac:dyDescent="0.25">
      <c r="A9" s="274" t="s">
        <v>102</v>
      </c>
    </row>
    <row r="10" spans="1:9" x14ac:dyDescent="0.25">
      <c r="E10" s="538"/>
    </row>
    <row r="12" spans="1:9" x14ac:dyDescent="0.25">
      <c r="A12" s="603" t="s">
        <v>429</v>
      </c>
      <c r="B12" s="603"/>
      <c r="C12" s="603"/>
      <c r="D12" s="603"/>
      <c r="E12" s="603"/>
    </row>
    <row r="13" spans="1:9" ht="24.75" customHeight="1" x14ac:dyDescent="0.3">
      <c r="A13" s="604" t="s">
        <v>655</v>
      </c>
      <c r="B13" s="604"/>
      <c r="C13" s="604"/>
      <c r="D13" s="539" t="s">
        <v>656</v>
      </c>
      <c r="E13" s="539" t="s">
        <v>657</v>
      </c>
      <c r="F13" s="546" t="s">
        <v>658</v>
      </c>
      <c r="G13" s="539" t="s">
        <v>28</v>
      </c>
    </row>
    <row r="14" spans="1:9" x14ac:dyDescent="0.25">
      <c r="A14" s="595" t="s">
        <v>663</v>
      </c>
      <c r="B14" s="595"/>
      <c r="C14" s="595"/>
      <c r="D14" s="540">
        <v>45625431</v>
      </c>
      <c r="E14" s="541">
        <f>I14</f>
        <v>21973.120000000003</v>
      </c>
      <c r="F14" s="542">
        <v>0.5</v>
      </c>
      <c r="G14" s="541">
        <f>E14</f>
        <v>21973.120000000003</v>
      </c>
      <c r="I14" s="544">
        <f>D6/2</f>
        <v>21973.120000000003</v>
      </c>
    </row>
    <row r="15" spans="1:9" x14ac:dyDescent="0.25">
      <c r="A15" s="596" t="s">
        <v>664</v>
      </c>
      <c r="B15" s="597"/>
      <c r="C15" s="598"/>
      <c r="D15" s="540">
        <v>44845269</v>
      </c>
      <c r="E15" s="541">
        <f>I14</f>
        <v>21973.120000000003</v>
      </c>
      <c r="F15" s="542">
        <v>0.5</v>
      </c>
      <c r="G15" s="541">
        <f>E15</f>
        <v>21973.120000000003</v>
      </c>
    </row>
    <row r="16" spans="1:9" ht="14.25" x14ac:dyDescent="0.3">
      <c r="A16" s="599" t="s">
        <v>28</v>
      </c>
      <c r="B16" s="599"/>
      <c r="C16" s="599"/>
      <c r="D16" s="599"/>
      <c r="E16" s="543">
        <f>E14+E15</f>
        <v>43946.240000000005</v>
      </c>
      <c r="F16" s="542">
        <v>1</v>
      </c>
      <c r="G16" s="545">
        <f>G14+G15</f>
        <v>43946.240000000005</v>
      </c>
    </row>
  </sheetData>
  <mergeCells count="8">
    <mergeCell ref="A14:C14"/>
    <mergeCell ref="A15:C15"/>
    <mergeCell ref="A16:D16"/>
    <mergeCell ref="A2:E2"/>
    <mergeCell ref="A4:A5"/>
    <mergeCell ref="B4:E4"/>
    <mergeCell ref="A12:E12"/>
    <mergeCell ref="A13:C13"/>
  </mergeCells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00FF"/>
  </sheetPr>
  <dimension ref="A1:G56"/>
  <sheetViews>
    <sheetView workbookViewId="0">
      <selection activeCell="B7" sqref="B7"/>
    </sheetView>
  </sheetViews>
  <sheetFormatPr baseColWidth="10" defaultRowHeight="12.75" x14ac:dyDescent="0.25"/>
  <cols>
    <col min="1" max="1" width="15.75" style="1" customWidth="1"/>
    <col min="2" max="5" width="11" style="1"/>
    <col min="6" max="6" width="18.75" style="1" customWidth="1"/>
    <col min="7" max="7" width="16.375" style="1" customWidth="1"/>
    <col min="8" max="8" width="11" style="1"/>
    <col min="9" max="9" width="16.75" style="1" customWidth="1"/>
    <col min="10" max="10" width="8.25" style="1" customWidth="1"/>
    <col min="11" max="16384" width="11" style="1"/>
  </cols>
  <sheetData>
    <row r="1" spans="1:7" ht="16.5" x14ac:dyDescent="0.3">
      <c r="A1" s="514" t="s">
        <v>464</v>
      </c>
    </row>
    <row r="2" spans="1:7" ht="21" x14ac:dyDescent="0.35">
      <c r="A2" s="605" t="s">
        <v>431</v>
      </c>
      <c r="B2" s="605"/>
      <c r="C2" s="605"/>
      <c r="D2" s="605"/>
      <c r="E2" s="605"/>
    </row>
    <row r="3" spans="1:7" ht="18" x14ac:dyDescent="0.35">
      <c r="A3" s="606" t="s">
        <v>641</v>
      </c>
      <c r="B3" s="606"/>
      <c r="C3" s="300"/>
      <c r="D3" s="300"/>
      <c r="E3" s="300"/>
    </row>
    <row r="4" spans="1:7" ht="15" x14ac:dyDescent="0.25">
      <c r="A4" s="607" t="s">
        <v>432</v>
      </c>
      <c r="B4" s="607"/>
    </row>
    <row r="5" spans="1:7" ht="16.5" x14ac:dyDescent="0.3">
      <c r="A5" s="608" t="s">
        <v>430</v>
      </c>
      <c r="B5" s="608"/>
      <c r="C5" s="323"/>
      <c r="D5"/>
    </row>
    <row r="6" spans="1:7" ht="13.5" x14ac:dyDescent="0.3">
      <c r="A6" s="176" t="s">
        <v>435</v>
      </c>
      <c r="B6" s="326">
        <v>10000</v>
      </c>
      <c r="C6" s="327"/>
      <c r="F6" s="349" t="s">
        <v>433</v>
      </c>
      <c r="G6" s="349" t="s">
        <v>213</v>
      </c>
    </row>
    <row r="7" spans="1:7" ht="13.5" x14ac:dyDescent="0.3">
      <c r="A7" s="176" t="s">
        <v>437</v>
      </c>
      <c r="B7" s="328">
        <v>36.869999999999997</v>
      </c>
      <c r="C7" s="329"/>
      <c r="F7" s="324" t="s">
        <v>434</v>
      </c>
      <c r="G7" s="325">
        <v>36.869999999999997</v>
      </c>
    </row>
    <row r="8" spans="1:7" ht="13.5" x14ac:dyDescent="0.3">
      <c r="A8" s="176" t="s">
        <v>439</v>
      </c>
      <c r="B8" s="550">
        <v>24</v>
      </c>
      <c r="C8" s="329"/>
      <c r="D8" s="330"/>
      <c r="E8" s="264"/>
      <c r="F8" s="176" t="s">
        <v>436</v>
      </c>
      <c r="G8" s="326">
        <v>50.5</v>
      </c>
    </row>
    <row r="9" spans="1:7" ht="13.5" x14ac:dyDescent="0.3">
      <c r="A9" s="176" t="s">
        <v>440</v>
      </c>
      <c r="B9" s="328">
        <v>0</v>
      </c>
      <c r="C9" s="329"/>
      <c r="D9" s="330"/>
      <c r="E9" s="264"/>
      <c r="F9" s="176" t="s">
        <v>438</v>
      </c>
      <c r="G9" s="326">
        <v>45</v>
      </c>
    </row>
    <row r="10" spans="1:7" ht="13.5" x14ac:dyDescent="0.3">
      <c r="A10" s="176" t="s">
        <v>441</v>
      </c>
      <c r="B10" s="326">
        <f>(((1+(B7/100))^(1/B8))-1)*100</f>
        <v>1.3163442915209655</v>
      </c>
      <c r="C10" s="329"/>
      <c r="D10" s="331"/>
      <c r="E10" s="264"/>
      <c r="F10" s="1" t="s">
        <v>102</v>
      </c>
    </row>
    <row r="11" spans="1:7" ht="13.5" x14ac:dyDescent="0.3">
      <c r="A11" s="176" t="s">
        <v>442</v>
      </c>
      <c r="B11" s="332">
        <f>(((1+(B9/100))^(1/B8))-1)*100</f>
        <v>0</v>
      </c>
      <c r="C11" s="329"/>
      <c r="D11" s="330"/>
      <c r="E11" s="264"/>
    </row>
    <row r="12" spans="1:7" ht="13.5" x14ac:dyDescent="0.3">
      <c r="A12" s="176" t="s">
        <v>443</v>
      </c>
      <c r="B12" s="333">
        <f>(SUM(B10:B11))/100</f>
        <v>1.3163442915209655E-2</v>
      </c>
      <c r="C12" s="329"/>
      <c r="D12" s="330"/>
      <c r="E12" s="264"/>
    </row>
    <row r="13" spans="1:7" ht="13.5" x14ac:dyDescent="0.3">
      <c r="A13" s="176" t="s">
        <v>444</v>
      </c>
      <c r="B13" s="326">
        <f>B6*(((B12*((1+B12)^B8)))/(((1+B12)^B8)-1))</f>
        <v>488.65756219276727</v>
      </c>
      <c r="C13" s="329"/>
      <c r="D13" s="330"/>
      <c r="E13" s="264"/>
    </row>
    <row r="14" spans="1:7" ht="13.5" x14ac:dyDescent="0.3">
      <c r="A14" s="1" t="s">
        <v>445</v>
      </c>
      <c r="B14" s="334"/>
      <c r="C14" s="329"/>
      <c r="D14" s="330"/>
      <c r="E14" s="264"/>
    </row>
    <row r="15" spans="1:7" ht="15" x14ac:dyDescent="0.3">
      <c r="A15" s="335" t="s">
        <v>446</v>
      </c>
      <c r="B15" s="227"/>
      <c r="C15" s="227"/>
      <c r="D15" s="227"/>
      <c r="E15" s="227"/>
    </row>
    <row r="16" spans="1:7" ht="13.5" x14ac:dyDescent="0.3">
      <c r="A16" s="227"/>
      <c r="B16" s="227"/>
      <c r="C16" s="227"/>
      <c r="D16" s="227"/>
      <c r="E16" s="227"/>
    </row>
    <row r="17" spans="1:5" ht="13.5" x14ac:dyDescent="0.25">
      <c r="A17" s="350" t="s">
        <v>204</v>
      </c>
      <c r="B17" s="350" t="s">
        <v>447</v>
      </c>
      <c r="C17" s="350" t="s">
        <v>448</v>
      </c>
      <c r="D17" s="350" t="s">
        <v>449</v>
      </c>
      <c r="E17" s="350" t="s">
        <v>444</v>
      </c>
    </row>
    <row r="18" spans="1:5" ht="13.5" x14ac:dyDescent="0.3">
      <c r="A18" s="336">
        <v>0</v>
      </c>
      <c r="B18" s="337">
        <f>B6</f>
        <v>10000</v>
      </c>
      <c r="C18" s="337">
        <v>0</v>
      </c>
      <c r="D18" s="337">
        <v>0</v>
      </c>
      <c r="E18" s="337">
        <f>$B$13</f>
        <v>488.65756219276727</v>
      </c>
    </row>
    <row r="19" spans="1:5" ht="13.5" x14ac:dyDescent="0.3">
      <c r="A19" s="336">
        <v>1</v>
      </c>
      <c r="B19" s="337">
        <f>B18-C19</f>
        <v>9642.9768669593286</v>
      </c>
      <c r="C19" s="337">
        <f t="shared" ref="C19:C42" si="0">E18-(B18*$B$12)</f>
        <v>357.0231330406707</v>
      </c>
      <c r="D19" s="337">
        <f>E19-C19</f>
        <v>131.63442915209657</v>
      </c>
      <c r="E19" s="337">
        <f t="shared" ref="E19:E42" si="1">$B$13</f>
        <v>488.65756219276727</v>
      </c>
    </row>
    <row r="20" spans="1:5" ht="13.5" x14ac:dyDescent="0.3">
      <c r="A20" s="336">
        <f>A19+1</f>
        <v>2</v>
      </c>
      <c r="B20" s="337">
        <f t="shared" ref="B20:B42" si="2">B19-C20</f>
        <v>9281.2540802874682</v>
      </c>
      <c r="C20" s="337">
        <f t="shared" si="0"/>
        <v>361.72278667186089</v>
      </c>
      <c r="D20" s="337">
        <f t="shared" ref="D20:D42" si="3">E20-C20</f>
        <v>126.93477552090638</v>
      </c>
      <c r="E20" s="337">
        <f t="shared" si="1"/>
        <v>488.65756219276727</v>
      </c>
    </row>
    <row r="21" spans="1:5" ht="13.5" x14ac:dyDescent="0.3">
      <c r="A21" s="336">
        <f t="shared" ref="A21:A42" si="4">A20+1</f>
        <v>3</v>
      </c>
      <c r="B21" s="337">
        <f t="shared" si="2"/>
        <v>8914.7697763621218</v>
      </c>
      <c r="C21" s="337">
        <f t="shared" si="0"/>
        <v>366.48430392534647</v>
      </c>
      <c r="D21" s="337">
        <f t="shared" si="3"/>
        <v>122.17325826742081</v>
      </c>
      <c r="E21" s="337">
        <f t="shared" si="1"/>
        <v>488.65756219276727</v>
      </c>
    </row>
    <row r="22" spans="1:5" ht="13.5" x14ac:dyDescent="0.3">
      <c r="A22" s="336">
        <f t="shared" si="4"/>
        <v>4</v>
      </c>
      <c r="B22" s="337">
        <f t="shared" si="2"/>
        <v>8543.4612772227338</v>
      </c>
      <c r="C22" s="337">
        <f t="shared" si="0"/>
        <v>371.30849913938812</v>
      </c>
      <c r="D22" s="337">
        <f t="shared" si="3"/>
        <v>117.34906305337915</v>
      </c>
      <c r="E22" s="337">
        <f t="shared" si="1"/>
        <v>488.65756219276727</v>
      </c>
    </row>
    <row r="23" spans="1:5" ht="13.5" x14ac:dyDescent="0.3">
      <c r="A23" s="336">
        <f t="shared" si="4"/>
        <v>5</v>
      </c>
      <c r="B23" s="337">
        <f t="shared" si="2"/>
        <v>8167.2650798509922</v>
      </c>
      <c r="C23" s="337">
        <f t="shared" si="0"/>
        <v>376.19619737174162</v>
      </c>
      <c r="D23" s="337">
        <f t="shared" si="3"/>
        <v>112.46136482102565</v>
      </c>
      <c r="E23" s="337">
        <f t="shared" si="1"/>
        <v>488.65756219276727</v>
      </c>
    </row>
    <row r="24" spans="1:5" ht="13.5" x14ac:dyDescent="0.3">
      <c r="A24" s="336">
        <f t="shared" si="4"/>
        <v>6</v>
      </c>
      <c r="B24" s="337">
        <f t="shared" si="2"/>
        <v>7786.1168453102291</v>
      </c>
      <c r="C24" s="337">
        <f t="shared" si="0"/>
        <v>381.1482345407635</v>
      </c>
      <c r="D24" s="337">
        <f t="shared" si="3"/>
        <v>107.50932765200378</v>
      </c>
      <c r="E24" s="337">
        <f t="shared" si="1"/>
        <v>488.65756219276727</v>
      </c>
    </row>
    <row r="25" spans="1:5" ht="13.5" x14ac:dyDescent="0.3">
      <c r="A25" s="336">
        <f t="shared" si="4"/>
        <v>7</v>
      </c>
      <c r="B25" s="337">
        <f t="shared" si="2"/>
        <v>7399.9513877418558</v>
      </c>
      <c r="C25" s="337">
        <f t="shared" si="0"/>
        <v>386.16545756837377</v>
      </c>
      <c r="D25" s="337">
        <f>E25-C25</f>
        <v>102.49210462439351</v>
      </c>
      <c r="E25" s="337">
        <f t="shared" si="1"/>
        <v>488.65756219276727</v>
      </c>
    </row>
    <row r="26" spans="1:5" ht="13.5" x14ac:dyDescent="0.3">
      <c r="A26" s="336">
        <f t="shared" si="4"/>
        <v>8</v>
      </c>
      <c r="B26" s="337">
        <f t="shared" si="2"/>
        <v>7008.7026632169545</v>
      </c>
      <c r="C26" s="337">
        <f t="shared" si="0"/>
        <v>391.24872452490087</v>
      </c>
      <c r="D26" s="337">
        <f t="shared" si="3"/>
        <v>97.408837667866408</v>
      </c>
      <c r="E26" s="337">
        <f t="shared" si="1"/>
        <v>488.65756219276727</v>
      </c>
    </row>
    <row r="27" spans="1:5" ht="13.5" x14ac:dyDescent="0.3">
      <c r="A27" s="336">
        <f t="shared" si="4"/>
        <v>9</v>
      </c>
      <c r="B27" s="337">
        <f t="shared" si="2"/>
        <v>6612.3037584411213</v>
      </c>
      <c r="C27" s="337">
        <f t="shared" si="0"/>
        <v>396.39890477583299</v>
      </c>
      <c r="D27" s="337">
        <f t="shared" si="3"/>
        <v>92.258657416934284</v>
      </c>
      <c r="E27" s="337">
        <f t="shared" si="1"/>
        <v>488.65756219276727</v>
      </c>
    </row>
    <row r="28" spans="1:5" ht="13.5" x14ac:dyDescent="0.3">
      <c r="A28" s="336">
        <f t="shared" si="4"/>
        <v>10</v>
      </c>
      <c r="B28" s="337">
        <f t="shared" si="2"/>
        <v>6210.6868793106196</v>
      </c>
      <c r="C28" s="337">
        <f t="shared" si="0"/>
        <v>401.61687913050133</v>
      </c>
      <c r="D28" s="337">
        <f t="shared" si="3"/>
        <v>87.040683062265941</v>
      </c>
      <c r="E28" s="337">
        <f t="shared" si="1"/>
        <v>488.65756219276727</v>
      </c>
    </row>
    <row r="29" spans="1:5" ht="13.5" x14ac:dyDescent="0.3">
      <c r="A29" s="336">
        <f t="shared" si="4"/>
        <v>11</v>
      </c>
      <c r="B29" s="337">
        <f t="shared" si="2"/>
        <v>5803.7833393178989</v>
      </c>
      <c r="C29" s="337">
        <f t="shared" si="0"/>
        <v>406.90353999272031</v>
      </c>
      <c r="D29" s="337">
        <f>E29-C29</f>
        <v>81.754022200046961</v>
      </c>
      <c r="E29" s="337">
        <f t="shared" si="1"/>
        <v>488.65756219276727</v>
      </c>
    </row>
    <row r="30" spans="1:5" ht="13.5" x14ac:dyDescent="0.3">
      <c r="A30" s="336">
        <f t="shared" si="4"/>
        <v>12</v>
      </c>
      <c r="B30" s="337">
        <f t="shared" si="2"/>
        <v>5391.5235478044879</v>
      </c>
      <c r="C30" s="337">
        <f t="shared" si="0"/>
        <v>412.25979151341124</v>
      </c>
      <c r="D30" s="337">
        <f t="shared" si="3"/>
        <v>76.397770679356029</v>
      </c>
      <c r="E30" s="337">
        <f t="shared" si="1"/>
        <v>488.65756219276727</v>
      </c>
    </row>
    <row r="31" spans="1:5" ht="13.5" x14ac:dyDescent="0.3">
      <c r="A31" s="336">
        <f t="shared" si="4"/>
        <v>13</v>
      </c>
      <c r="B31" s="337">
        <f t="shared" si="2"/>
        <v>4973.8369980592533</v>
      </c>
      <c r="C31" s="337">
        <f t="shared" si="0"/>
        <v>417.68654974523429</v>
      </c>
      <c r="D31" s="337">
        <f t="shared" si="3"/>
        <v>70.971012447532985</v>
      </c>
      <c r="E31" s="337">
        <f t="shared" si="1"/>
        <v>488.65756219276727</v>
      </c>
    </row>
    <row r="32" spans="1:5" ht="13.5" x14ac:dyDescent="0.3">
      <c r="A32" s="336">
        <f t="shared" si="4"/>
        <v>14</v>
      </c>
      <c r="B32" s="337">
        <f t="shared" si="2"/>
        <v>4550.6522552599972</v>
      </c>
      <c r="C32" s="337">
        <f t="shared" si="0"/>
        <v>423.18474279925653</v>
      </c>
      <c r="D32" s="337">
        <f t="shared" si="3"/>
        <v>65.472819393510747</v>
      </c>
      <c r="E32" s="337">
        <f t="shared" si="1"/>
        <v>488.65756219276727</v>
      </c>
    </row>
    <row r="33" spans="1:7" ht="13.5" x14ac:dyDescent="0.3">
      <c r="A33" s="336">
        <f t="shared" si="4"/>
        <v>15</v>
      </c>
      <c r="B33" s="337">
        <f t="shared" si="2"/>
        <v>4121.8969442563148</v>
      </c>
      <c r="C33" s="337">
        <f t="shared" si="0"/>
        <v>428.75531100368221</v>
      </c>
      <c r="D33" s="337">
        <f t="shared" si="3"/>
        <v>59.902251189085064</v>
      </c>
      <c r="E33" s="337">
        <f t="shared" si="1"/>
        <v>488.65756219276727</v>
      </c>
    </row>
    <row r="34" spans="1:7" ht="13.5" x14ac:dyDescent="0.3">
      <c r="A34" s="336">
        <f t="shared" si="4"/>
        <v>16</v>
      </c>
      <c r="B34" s="337">
        <f t="shared" si="2"/>
        <v>3687.4977371916425</v>
      </c>
      <c r="C34" s="337">
        <f t="shared" si="0"/>
        <v>434.39920706467217</v>
      </c>
      <c r="D34" s="337">
        <f t="shared" si="3"/>
        <v>54.258355128095104</v>
      </c>
      <c r="E34" s="337">
        <f t="shared" si="1"/>
        <v>488.65756219276727</v>
      </c>
    </row>
    <row r="35" spans="1:7" ht="13.5" x14ac:dyDescent="0.3">
      <c r="A35" s="336">
        <f t="shared" si="4"/>
        <v>17</v>
      </c>
      <c r="B35" s="337">
        <f t="shared" si="2"/>
        <v>3247.3803409623624</v>
      </c>
      <c r="C35" s="337">
        <f t="shared" si="0"/>
        <v>440.1173962292803</v>
      </c>
      <c r="D35" s="337">
        <f t="shared" si="3"/>
        <v>48.54016596348697</v>
      </c>
      <c r="E35" s="337">
        <f t="shared" si="1"/>
        <v>488.65756219276727</v>
      </c>
    </row>
    <row r="36" spans="1:7" ht="13.5" x14ac:dyDescent="0.3">
      <c r="A36" s="336">
        <f t="shared" si="4"/>
        <v>18</v>
      </c>
      <c r="B36" s="337">
        <f t="shared" si="2"/>
        <v>2801.4694845118274</v>
      </c>
      <c r="C36" s="337">
        <f t="shared" si="0"/>
        <v>445.91085645053516</v>
      </c>
      <c r="D36" s="337">
        <f t="shared" si="3"/>
        <v>42.746705742232109</v>
      </c>
      <c r="E36" s="337">
        <f t="shared" si="1"/>
        <v>488.65756219276727</v>
      </c>
    </row>
    <row r="37" spans="1:7" ht="13.5" x14ac:dyDescent="0.3">
      <c r="A37" s="336">
        <f t="shared" si="4"/>
        <v>19</v>
      </c>
      <c r="B37" s="337">
        <f t="shared" si="2"/>
        <v>2349.6889059571336</v>
      </c>
      <c r="C37" s="337">
        <f t="shared" si="0"/>
        <v>451.78057855469399</v>
      </c>
      <c r="D37" s="337">
        <f t="shared" si="3"/>
        <v>36.876983638073284</v>
      </c>
      <c r="E37" s="337">
        <f t="shared" si="1"/>
        <v>488.65756219276727</v>
      </c>
    </row>
    <row r="38" spans="1:7" ht="13.5" x14ac:dyDescent="0.3">
      <c r="A38" s="336">
        <f t="shared" si="4"/>
        <v>20</v>
      </c>
      <c r="B38" s="337">
        <f t="shared" si="2"/>
        <v>1891.9613395464344</v>
      </c>
      <c r="C38" s="337">
        <f t="shared" si="0"/>
        <v>457.72756641069913</v>
      </c>
      <c r="D38" s="337">
        <f t="shared" si="3"/>
        <v>30.929995782068147</v>
      </c>
      <c r="E38" s="337">
        <f t="shared" si="1"/>
        <v>488.65756219276727</v>
      </c>
    </row>
    <row r="39" spans="1:7" ht="13.5" x14ac:dyDescent="0.3">
      <c r="A39" s="336">
        <f t="shared" si="4"/>
        <v>21</v>
      </c>
      <c r="B39" s="337">
        <f t="shared" si="2"/>
        <v>1428.2085024445701</v>
      </c>
      <c r="C39" s="337">
        <f t="shared" si="0"/>
        <v>463.7528371018642</v>
      </c>
      <c r="D39" s="337">
        <f t="shared" si="3"/>
        <v>24.904725090903071</v>
      </c>
      <c r="E39" s="337">
        <f t="shared" si="1"/>
        <v>488.65756219276727</v>
      </c>
    </row>
    <row r="40" spans="1:7" ht="13.5" x14ac:dyDescent="0.3">
      <c r="A40" s="336">
        <f t="shared" si="4"/>
        <v>22</v>
      </c>
      <c r="B40" s="337">
        <f t="shared" si="2"/>
        <v>958.35108134474899</v>
      </c>
      <c r="C40" s="337">
        <f t="shared" si="0"/>
        <v>469.85742109982112</v>
      </c>
      <c r="D40" s="337">
        <f t="shared" si="3"/>
        <v>18.800141092946149</v>
      </c>
      <c r="E40" s="337">
        <f t="shared" si="1"/>
        <v>488.65756219276727</v>
      </c>
    </row>
    <row r="41" spans="1:7" ht="13.5" x14ac:dyDescent="0.3">
      <c r="A41" s="336">
        <f t="shared" si="4"/>
        <v>23</v>
      </c>
      <c r="B41" s="337">
        <f t="shared" si="2"/>
        <v>482.30871890399277</v>
      </c>
      <c r="C41" s="337">
        <f t="shared" si="0"/>
        <v>476.04236244075622</v>
      </c>
      <c r="D41" s="337">
        <f t="shared" si="3"/>
        <v>12.615199752011051</v>
      </c>
      <c r="E41" s="337">
        <f t="shared" si="1"/>
        <v>488.65756219276727</v>
      </c>
    </row>
    <row r="42" spans="1:7" ht="13.5" x14ac:dyDescent="0.3">
      <c r="A42" s="336">
        <f t="shared" si="4"/>
        <v>24</v>
      </c>
      <c r="B42" s="337">
        <f t="shared" si="2"/>
        <v>2.6091129257110879E-11</v>
      </c>
      <c r="C42" s="337">
        <f t="shared" si="0"/>
        <v>482.30871890396668</v>
      </c>
      <c r="D42" s="337">
        <f t="shared" si="3"/>
        <v>6.3488432888005946</v>
      </c>
      <c r="E42" s="337">
        <f t="shared" si="1"/>
        <v>488.65756219276727</v>
      </c>
    </row>
    <row r="43" spans="1:7" x14ac:dyDescent="0.25">
      <c r="A43" s="1" t="s">
        <v>640</v>
      </c>
    </row>
    <row r="45" spans="1:7" ht="13.5" x14ac:dyDescent="0.25">
      <c r="A45" s="350" t="s">
        <v>204</v>
      </c>
      <c r="B45" s="350" t="s">
        <v>447</v>
      </c>
      <c r="C45" s="350" t="s">
        <v>448</v>
      </c>
      <c r="D45" s="350" t="s">
        <v>449</v>
      </c>
      <c r="E45" s="350" t="s">
        <v>444</v>
      </c>
      <c r="F45" s="350" t="s">
        <v>431</v>
      </c>
      <c r="G45" s="350" t="s">
        <v>450</v>
      </c>
    </row>
    <row r="46" spans="1:7" ht="13.5" x14ac:dyDescent="0.3">
      <c r="A46" s="336">
        <v>0</v>
      </c>
      <c r="B46" s="337">
        <f>B6</f>
        <v>10000</v>
      </c>
      <c r="C46" s="337">
        <v>0</v>
      </c>
      <c r="D46" s="337">
        <v>0</v>
      </c>
      <c r="E46" s="337">
        <f t="shared" ref="E46:E55" si="5">$B$13</f>
        <v>488.65756219276727</v>
      </c>
      <c r="F46" s="337">
        <v>350</v>
      </c>
      <c r="G46" s="337">
        <f t="shared" ref="G46:G52" si="6">SUM(E46:F46)</f>
        <v>838.65756219276727</v>
      </c>
    </row>
    <row r="47" spans="1:7" ht="13.5" x14ac:dyDescent="0.3">
      <c r="A47" s="336">
        <v>1</v>
      </c>
      <c r="B47" s="337">
        <f>B46-C47</f>
        <v>9292.9768669593286</v>
      </c>
      <c r="C47" s="337">
        <f>G46-(B46*$B$12)</f>
        <v>707.0231330406707</v>
      </c>
      <c r="D47" s="337">
        <f>G47-C47</f>
        <v>131.63442915209657</v>
      </c>
      <c r="E47" s="337">
        <f t="shared" si="5"/>
        <v>488.65756219276727</v>
      </c>
      <c r="F47" s="337">
        <v>350</v>
      </c>
      <c r="G47" s="337">
        <f t="shared" si="6"/>
        <v>838.65756219276727</v>
      </c>
    </row>
    <row r="48" spans="1:7" ht="13.5" x14ac:dyDescent="0.3">
      <c r="A48" s="336">
        <f>A47+1</f>
        <v>2</v>
      </c>
      <c r="B48" s="337">
        <f t="shared" ref="B48:B56" si="7">B47-C48</f>
        <v>8576.6468752671444</v>
      </c>
      <c r="C48" s="337">
        <f>G47-(B47*$B$12)</f>
        <v>716.32999169218431</v>
      </c>
      <c r="D48" s="337">
        <f t="shared" ref="D48:D55" si="8">G48-C48</f>
        <v>122.32757050058296</v>
      </c>
      <c r="E48" s="337">
        <f t="shared" si="5"/>
        <v>488.65756219276727</v>
      </c>
      <c r="F48" s="337">
        <v>350</v>
      </c>
      <c r="G48" s="337">
        <f t="shared" si="6"/>
        <v>838.65756219276727</v>
      </c>
    </row>
    <row r="49" spans="1:7" ht="13.5" x14ac:dyDescent="0.3">
      <c r="A49" s="336">
        <f t="shared" ref="A49:A56" si="9">A48+1</f>
        <v>3</v>
      </c>
      <c r="B49" s="337">
        <f t="shared" si="7"/>
        <v>7850.8875146208675</v>
      </c>
      <c r="C49" s="337">
        <f t="shared" ref="C49:C54" si="10">G48-(B48*$B$12)</f>
        <v>725.75936064627695</v>
      </c>
      <c r="D49" s="337">
        <f t="shared" si="8"/>
        <v>112.89820154649033</v>
      </c>
      <c r="E49" s="337">
        <f t="shared" si="5"/>
        <v>488.65756219276727</v>
      </c>
      <c r="F49" s="337">
        <v>350</v>
      </c>
      <c r="G49" s="337">
        <f t="shared" si="6"/>
        <v>838.65756219276727</v>
      </c>
    </row>
    <row r="50" spans="1:7" ht="13.5" x14ac:dyDescent="0.3">
      <c r="A50" s="336">
        <f t="shared" si="9"/>
        <v>4</v>
      </c>
      <c r="B50" s="337">
        <f t="shared" si="7"/>
        <v>7115.5746620605441</v>
      </c>
      <c r="C50" s="337">
        <f t="shared" si="10"/>
        <v>735.31285256032334</v>
      </c>
      <c r="D50" s="337">
        <f t="shared" si="8"/>
        <v>103.34470963244394</v>
      </c>
      <c r="E50" s="337">
        <f t="shared" si="5"/>
        <v>488.65756219276727</v>
      </c>
      <c r="F50" s="337">
        <v>350</v>
      </c>
      <c r="G50" s="337">
        <f t="shared" si="6"/>
        <v>838.65756219276727</v>
      </c>
    </row>
    <row r="51" spans="1:7" ht="13.5" x14ac:dyDescent="0.3">
      <c r="A51" s="336">
        <f t="shared" si="9"/>
        <v>5</v>
      </c>
      <c r="B51" s="337">
        <f t="shared" si="7"/>
        <v>6370.5825607407232</v>
      </c>
      <c r="C51" s="337">
        <f>G50-(B50*$B$12)</f>
        <v>744.99210131982102</v>
      </c>
      <c r="D51" s="337">
        <f t="shared" si="8"/>
        <v>93.665460872946255</v>
      </c>
      <c r="E51" s="337">
        <f t="shared" si="5"/>
        <v>488.65756219276727</v>
      </c>
      <c r="F51" s="337">
        <v>350</v>
      </c>
      <c r="G51" s="337">
        <f t="shared" si="6"/>
        <v>838.65756219276727</v>
      </c>
    </row>
    <row r="52" spans="1:7" ht="13.5" x14ac:dyDescent="0.3">
      <c r="A52" s="336">
        <f t="shared" si="9"/>
        <v>6</v>
      </c>
      <c r="B52" s="337">
        <f t="shared" si="7"/>
        <v>5615.7837984228963</v>
      </c>
      <c r="C52" s="337">
        <f t="shared" si="10"/>
        <v>754.79876231782657</v>
      </c>
      <c r="D52" s="337">
        <f t="shared" si="8"/>
        <v>83.858799874940701</v>
      </c>
      <c r="E52" s="337">
        <f t="shared" si="5"/>
        <v>488.65756219276727</v>
      </c>
      <c r="F52" s="337">
        <v>350</v>
      </c>
      <c r="G52" s="337">
        <f t="shared" si="6"/>
        <v>838.65756219276727</v>
      </c>
    </row>
    <row r="53" spans="1:7" ht="13.5" x14ac:dyDescent="0.3">
      <c r="A53" s="336">
        <f t="shared" si="9"/>
        <v>7</v>
      </c>
      <c r="B53" s="337">
        <f t="shared" si="7"/>
        <v>4851.0492856848277</v>
      </c>
      <c r="C53" s="337">
        <f t="shared" si="10"/>
        <v>764.73451273806825</v>
      </c>
      <c r="D53" s="337">
        <f t="shared" si="8"/>
        <v>73.923049454699026</v>
      </c>
      <c r="E53" s="337">
        <f t="shared" si="5"/>
        <v>488.65756219276727</v>
      </c>
      <c r="F53" s="337">
        <v>350</v>
      </c>
      <c r="G53" s="337">
        <f>SUM(E53:F53)</f>
        <v>838.65756219276727</v>
      </c>
    </row>
    <row r="54" spans="1:7" ht="13.5" x14ac:dyDescent="0.3">
      <c r="A54" s="336">
        <f t="shared" si="9"/>
        <v>8</v>
      </c>
      <c r="B54" s="337">
        <f t="shared" si="7"/>
        <v>4076.2482338430414</v>
      </c>
      <c r="C54" s="337">
        <f t="shared" si="10"/>
        <v>774.80105184178649</v>
      </c>
      <c r="D54" s="337">
        <f t="shared" si="8"/>
        <v>63.856510350980784</v>
      </c>
      <c r="E54" s="337">
        <f t="shared" si="5"/>
        <v>488.65756219276727</v>
      </c>
      <c r="F54" s="337">
        <v>350</v>
      </c>
      <c r="G54" s="337">
        <f t="shared" ref="G54:G55" si="11">SUM(E54:F54)</f>
        <v>838.65756219276727</v>
      </c>
    </row>
    <row r="55" spans="1:7" ht="13.5" x14ac:dyDescent="0.3">
      <c r="A55" s="336">
        <f t="shared" si="9"/>
        <v>9</v>
      </c>
      <c r="B55" s="337">
        <f t="shared" si="7"/>
        <v>3291.2481325846911</v>
      </c>
      <c r="C55" s="337">
        <f>G54-(B54*$B$12)</f>
        <v>785.00010125835024</v>
      </c>
      <c r="D55" s="337">
        <f t="shared" si="8"/>
        <v>53.657460934417031</v>
      </c>
      <c r="E55" s="337">
        <f t="shared" si="5"/>
        <v>488.65756219276727</v>
      </c>
      <c r="F55" s="337">
        <v>350</v>
      </c>
      <c r="G55" s="337">
        <f t="shared" si="11"/>
        <v>838.65756219276727</v>
      </c>
    </row>
    <row r="56" spans="1:7" ht="13.5" x14ac:dyDescent="0.3">
      <c r="A56" s="336">
        <f t="shared" si="9"/>
        <v>10</v>
      </c>
      <c r="B56" s="337">
        <f t="shared" si="7"/>
        <v>0</v>
      </c>
      <c r="C56" s="337">
        <f>G56-D56</f>
        <v>3291.2481325846911</v>
      </c>
      <c r="D56" s="337">
        <f>B55*B12</f>
        <v>43.324156913068961</v>
      </c>
      <c r="E56" s="337"/>
      <c r="F56" s="337"/>
      <c r="G56" s="337">
        <f>B55+D56</f>
        <v>3334.5722894977603</v>
      </c>
    </row>
  </sheetData>
  <mergeCells count="4">
    <mergeCell ref="A2:E2"/>
    <mergeCell ref="A3:B3"/>
    <mergeCell ref="A4:B4"/>
    <mergeCell ref="A5:B5"/>
  </mergeCells>
  <hyperlinks>
    <hyperlink ref="A1" location="INDICE!A1" display="INDICE"/>
  </hyperlink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24577" r:id="rId3">
          <objectPr defaultSize="0" autoPict="0" r:id="rId4">
            <anchor moveWithCells="1" sizeWithCells="1">
              <from>
                <xdr:col>2</xdr:col>
                <xdr:colOff>704850</xdr:colOff>
                <xdr:row>3</xdr:row>
                <xdr:rowOff>161925</xdr:rowOff>
              </from>
              <to>
                <xdr:col>4</xdr:col>
                <xdr:colOff>400050</xdr:colOff>
                <xdr:row>7</xdr:row>
                <xdr:rowOff>9525</xdr:rowOff>
              </to>
            </anchor>
          </objectPr>
        </oleObject>
      </mc:Choice>
      <mc:Fallback>
        <oleObject progId="Equation.3" shapeId="24577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INDICE</vt:lpstr>
      <vt:lpstr>ORGANIGRAMA</vt:lpstr>
      <vt:lpstr>CROQUIS</vt:lpstr>
      <vt:lpstr>LOCALIZACION</vt:lpstr>
      <vt:lpstr>MUESTRA</vt:lpstr>
      <vt:lpstr>INVERSION TOTAL</vt:lpstr>
      <vt:lpstr>COSTO DE PRODUCCION</vt:lpstr>
      <vt:lpstr>FINANCIAMIENTO</vt:lpstr>
      <vt:lpstr>AMORTIZACION</vt:lpstr>
      <vt:lpstr>INGRESOS POR VENTA</vt:lpstr>
      <vt:lpstr>PLANILLA</vt:lpstr>
      <vt:lpstr>GASTOS INDIRECTOS</vt:lpstr>
      <vt:lpstr>DEPRECIACION DE EQUIPOS</vt:lpstr>
      <vt:lpstr>PRESUPUESTO DE GASTOS</vt:lpstr>
      <vt:lpstr>ESTADO DE GANANCIAS Y PERDIDAS</vt:lpstr>
      <vt:lpstr>BALANCE GENERAL</vt:lpstr>
      <vt:lpstr>FLUJO DE CAJA ECON FINAN</vt:lpstr>
      <vt:lpstr>EVALUACION COSTO BENEFICIO</vt:lpstr>
      <vt:lpstr>PUNTO DE EQUILIBRIO</vt:lpstr>
      <vt:lpstr>PRINCIPALES RATIOS</vt:lpstr>
      <vt:lpstr>CUADRO DE RATIOS</vt:lpstr>
      <vt:lpstr>ENCUESTA</vt:lpstr>
      <vt:lpstr>ENCUESTA1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Anyela</dc:creator>
  <cp:lastModifiedBy>Ronny Jimenez</cp:lastModifiedBy>
  <dcterms:created xsi:type="dcterms:W3CDTF">2016-03-12T15:11:06Z</dcterms:created>
  <dcterms:modified xsi:type="dcterms:W3CDTF">2016-12-15T11:35:32Z</dcterms:modified>
</cp:coreProperties>
</file>