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rei5\Music\"/>
    </mc:Choice>
  </mc:AlternateContent>
  <bookViews>
    <workbookView xWindow="0" yWindow="0" windowWidth="23040" windowHeight="9780" tabRatio="734" firstSheet="3" activeTab="5"/>
  </bookViews>
  <sheets>
    <sheet name="INDICE" sheetId="22" r:id="rId1"/>
    <sheet name="Inversión" sheetId="13" r:id="rId2"/>
    <sheet name="EsquemaFinanciero" sheetId="7" r:id="rId3"/>
    <sheet name="ProyecciónDeVentas" sheetId="1" r:id="rId4"/>
    <sheet name="PlanDeEgresos" sheetId="19" r:id="rId5"/>
    <sheet name="Depreciación" sheetId="8" r:id="rId6"/>
    <sheet name="Costo M. Prima" sheetId="5" r:id="rId7"/>
    <sheet name="CostosDePersonal" sheetId="4" r:id="rId8"/>
    <sheet name="Otros Costos" sheetId="6" r:id="rId9"/>
    <sheet name="PlanDeVentas y FlujoDeEfectivo" sheetId="11" r:id="rId10"/>
    <sheet name="RelaciónCosto-Beneficio" sheetId="23" state="hidden" r:id="rId11"/>
    <sheet name="EstadoDeResultados" sheetId="20" r:id="rId12"/>
    <sheet name="PuntoDeEquilibrio" sheetId="14" r:id="rId13"/>
    <sheet name="3D_Restaurant" sheetId="24" r:id="rId14"/>
  </sheets>
  <definedNames>
    <definedName name="_xlnm.Print_Area" localSheetId="0">INDICE!$A$1:$F$33</definedName>
  </definedNames>
  <calcPr calcId="162913"/>
</workbook>
</file>

<file path=xl/calcChain.xml><?xml version="1.0" encoding="utf-8"?>
<calcChain xmlns="http://schemas.openxmlformats.org/spreadsheetml/2006/main">
  <c r="F5" i="8" l="1"/>
  <c r="F17" i="8"/>
  <c r="G8" i="8"/>
  <c r="F6" i="8"/>
  <c r="F7" i="8"/>
  <c r="F9" i="8"/>
  <c r="F10" i="8"/>
  <c r="F11" i="8"/>
  <c r="F13" i="8"/>
  <c r="F14" i="8"/>
  <c r="F15" i="8"/>
  <c r="F16" i="8"/>
  <c r="F18" i="8"/>
  <c r="F19" i="8"/>
  <c r="F20" i="8"/>
  <c r="F22" i="8"/>
  <c r="F23" i="8"/>
  <c r="F24" i="8"/>
  <c r="F25" i="8"/>
  <c r="D14" i="4" l="1"/>
  <c r="C14" i="4"/>
  <c r="D15" i="4"/>
  <c r="C15" i="4"/>
  <c r="D20" i="4"/>
  <c r="D21" i="4"/>
  <c r="D22" i="4"/>
  <c r="D23" i="4"/>
  <c r="C23" i="4"/>
  <c r="C21" i="4"/>
  <c r="C22" i="4"/>
  <c r="C20" i="4"/>
  <c r="H5" i="4"/>
  <c r="H6" i="4"/>
  <c r="H7" i="4"/>
  <c r="H4" i="4"/>
  <c r="C9" i="4"/>
  <c r="B12" i="19"/>
  <c r="B30" i="23" l="1"/>
  <c r="B29" i="23"/>
  <c r="B31" i="23" s="1"/>
  <c r="C25" i="23"/>
  <c r="D25" i="23"/>
  <c r="E25" i="23"/>
  <c r="F25" i="23"/>
  <c r="G25" i="23"/>
  <c r="B25" i="23"/>
  <c r="C6" i="23"/>
  <c r="K6" i="23" l="1"/>
  <c r="L6" i="23"/>
  <c r="M6" i="23"/>
  <c r="N6" i="23"/>
  <c r="O6" i="23"/>
  <c r="P6" i="23"/>
  <c r="Q6" i="23"/>
  <c r="R6" i="23"/>
  <c r="S6" i="23"/>
  <c r="T6" i="23"/>
  <c r="U6" i="23"/>
  <c r="V6" i="23"/>
  <c r="W6" i="23"/>
  <c r="X6" i="23"/>
  <c r="Y6" i="23"/>
  <c r="Z6" i="23"/>
  <c r="D6" i="23"/>
  <c r="E6" i="23"/>
  <c r="F6" i="23"/>
  <c r="G6" i="23"/>
  <c r="H6" i="23"/>
  <c r="I6" i="23"/>
  <c r="J6" i="23"/>
  <c r="B6" i="23"/>
  <c r="C43" i="20" l="1"/>
  <c r="D43" i="20"/>
  <c r="E43" i="20"/>
  <c r="F43" i="20"/>
  <c r="B43" i="20"/>
  <c r="N10" i="20" l="1"/>
  <c r="C7" i="1"/>
  <c r="D7" i="1"/>
  <c r="E7" i="1"/>
  <c r="F7" i="1"/>
  <c r="G7" i="1"/>
  <c r="H7" i="1"/>
  <c r="I7" i="1"/>
  <c r="J7" i="1"/>
  <c r="K7" i="1"/>
  <c r="L7" i="1"/>
  <c r="M7" i="1"/>
  <c r="B7" i="1"/>
  <c r="D24" i="4" l="1"/>
  <c r="C24" i="4"/>
  <c r="E23" i="4"/>
  <c r="E22" i="4"/>
  <c r="E21" i="4"/>
  <c r="E20" i="4"/>
  <c r="D33" i="4"/>
  <c r="C33" i="4"/>
  <c r="E32" i="4"/>
  <c r="E31" i="4"/>
  <c r="E30" i="4"/>
  <c r="E29" i="4"/>
  <c r="E28" i="4"/>
  <c r="S50" i="1"/>
  <c r="S51" i="1"/>
  <c r="S52" i="1"/>
  <c r="S49" i="1"/>
  <c r="Z36" i="1"/>
  <c r="D16" i="4"/>
  <c r="E15" i="4"/>
  <c r="E14" i="4"/>
  <c r="N14" i="11" l="1"/>
  <c r="G14" i="11"/>
  <c r="H14" i="11"/>
  <c r="M14" i="11"/>
  <c r="I14" i="11"/>
  <c r="J14" i="11"/>
  <c r="K14" i="11"/>
  <c r="L14" i="11"/>
  <c r="S14" i="11"/>
  <c r="O14" i="11"/>
  <c r="T14" i="11"/>
  <c r="P14" i="11"/>
  <c r="U14" i="11"/>
  <c r="Q14" i="11"/>
  <c r="V14" i="11"/>
  <c r="W14" i="11"/>
  <c r="X14" i="11"/>
  <c r="Y14" i="11"/>
  <c r="Z14" i="11"/>
  <c r="D9" i="19"/>
  <c r="D8" i="19" s="1"/>
  <c r="C9" i="19"/>
  <c r="C8" i="19" s="1"/>
  <c r="E9" i="19"/>
  <c r="E8" i="19" s="1"/>
  <c r="B9" i="19"/>
  <c r="B8" i="19" s="1"/>
  <c r="F9" i="19"/>
  <c r="F8" i="19" s="1"/>
  <c r="G9" i="19"/>
  <c r="G8" i="19" s="1"/>
  <c r="E16" i="4"/>
  <c r="R14" i="11"/>
  <c r="K9" i="19"/>
  <c r="J9" i="19"/>
  <c r="L9" i="19"/>
  <c r="H9" i="19"/>
  <c r="I9" i="19"/>
  <c r="M9" i="19"/>
  <c r="E14" i="11"/>
  <c r="C14" i="11"/>
  <c r="E24" i="4"/>
  <c r="D14" i="11"/>
  <c r="E33" i="4"/>
  <c r="F14" i="11"/>
  <c r="N15" i="20"/>
  <c r="F49" i="20" s="1"/>
  <c r="C31" i="11" l="1"/>
  <c r="D31" i="11"/>
  <c r="E49" i="20"/>
  <c r="D49" i="20"/>
  <c r="C49" i="20"/>
  <c r="B49" i="20"/>
  <c r="D5" i="6"/>
  <c r="E5" i="6" s="1"/>
  <c r="F5" i="6" s="1"/>
  <c r="G5" i="6" s="1"/>
  <c r="H5" i="6" s="1"/>
  <c r="D6" i="6"/>
  <c r="E6" i="6" s="1"/>
  <c r="F6" i="6" s="1"/>
  <c r="G6" i="6" s="1"/>
  <c r="H6" i="6" s="1"/>
  <c r="D7" i="6"/>
  <c r="E7" i="6" s="1"/>
  <c r="F7" i="6" s="1"/>
  <c r="G7" i="6" s="1"/>
  <c r="H7" i="6" s="1"/>
  <c r="D8" i="6"/>
  <c r="E8" i="6" s="1"/>
  <c r="F8" i="6" s="1"/>
  <c r="G8" i="6" s="1"/>
  <c r="H8" i="6" s="1"/>
  <c r="D9" i="6"/>
  <c r="E9" i="6" s="1"/>
  <c r="F9" i="6" s="1"/>
  <c r="G9" i="6" s="1"/>
  <c r="H9" i="6" s="1"/>
  <c r="D10" i="6"/>
  <c r="E10" i="6" s="1"/>
  <c r="F10" i="6" s="1"/>
  <c r="G10" i="6" s="1"/>
  <c r="H10" i="6" s="1"/>
  <c r="D4" i="6"/>
  <c r="D24" i="19" l="1"/>
  <c r="E31" i="11"/>
  <c r="E24" i="19" s="1"/>
  <c r="D11" i="6"/>
  <c r="C33" i="11" s="1"/>
  <c r="E4" i="6"/>
  <c r="F4" i="6" s="1"/>
  <c r="G4" i="6" s="1"/>
  <c r="H4" i="6" s="1"/>
  <c r="E11" i="6"/>
  <c r="F11" i="6"/>
  <c r="D68" i="11"/>
  <c r="E68" i="11"/>
  <c r="F68" i="11"/>
  <c r="G68" i="11"/>
  <c r="H68" i="11"/>
  <c r="I68" i="11"/>
  <c r="J68" i="11"/>
  <c r="K68" i="11"/>
  <c r="L68" i="11"/>
  <c r="M68" i="11"/>
  <c r="N68" i="11"/>
  <c r="C68" i="11"/>
  <c r="D21" i="11"/>
  <c r="E21" i="11"/>
  <c r="F21" i="11"/>
  <c r="G21" i="11"/>
  <c r="H21" i="11"/>
  <c r="I21" i="11"/>
  <c r="J21" i="11"/>
  <c r="K21" i="11"/>
  <c r="L21" i="11"/>
  <c r="M21" i="11"/>
  <c r="N21" i="11"/>
  <c r="C21" i="11"/>
  <c r="D20" i="11"/>
  <c r="E20" i="11"/>
  <c r="F20" i="11"/>
  <c r="G20" i="11"/>
  <c r="H20" i="11"/>
  <c r="I20" i="11"/>
  <c r="J20" i="11"/>
  <c r="K20" i="11"/>
  <c r="L20" i="11"/>
  <c r="M20" i="11"/>
  <c r="N20" i="11"/>
  <c r="C20" i="11"/>
  <c r="B19" i="11"/>
  <c r="B36" i="11" s="1"/>
  <c r="F31" i="11" l="1"/>
  <c r="E33" i="11"/>
  <c r="E25" i="19"/>
  <c r="D33" i="11"/>
  <c r="D25" i="19"/>
  <c r="H11" i="6"/>
  <c r="G11" i="6"/>
  <c r="E4" i="14"/>
  <c r="C15" i="14" s="1"/>
  <c r="E6" i="14"/>
  <c r="E5" i="14"/>
  <c r="C75" i="1"/>
  <c r="C74" i="1"/>
  <c r="C73" i="1"/>
  <c r="B6" i="1"/>
  <c r="G31" i="11" l="1"/>
  <c r="B25" i="1"/>
  <c r="N25" i="1" s="1"/>
  <c r="N27" i="1" s="1"/>
  <c r="F33" i="11"/>
  <c r="F25" i="19"/>
  <c r="G33" i="11"/>
  <c r="G25" i="19"/>
  <c r="B27" i="1"/>
  <c r="O7" i="11" s="1"/>
  <c r="B66" i="1"/>
  <c r="J15" i="13"/>
  <c r="J16" i="13"/>
  <c r="J17" i="13"/>
  <c r="J18" i="13"/>
  <c r="J14" i="13"/>
  <c r="J13" i="13" l="1"/>
  <c r="C92" i="13" s="1"/>
  <c r="B24" i="20"/>
  <c r="B26" i="20"/>
  <c r="M26" i="20"/>
  <c r="L26" i="20"/>
  <c r="K26" i="20"/>
  <c r="J26" i="20"/>
  <c r="I26" i="20"/>
  <c r="H26" i="20"/>
  <c r="G26" i="20"/>
  <c r="M25" i="20"/>
  <c r="L25" i="20"/>
  <c r="K25" i="20"/>
  <c r="J25" i="20"/>
  <c r="I25" i="20"/>
  <c r="H25" i="20"/>
  <c r="G25" i="20"/>
  <c r="M24" i="20"/>
  <c r="L24" i="20"/>
  <c r="L23" i="20" s="1"/>
  <c r="K24" i="20"/>
  <c r="J24" i="20"/>
  <c r="J23" i="20" s="1"/>
  <c r="I24" i="20"/>
  <c r="H24" i="20"/>
  <c r="H23" i="20" s="1"/>
  <c r="G24" i="20"/>
  <c r="C12" i="20"/>
  <c r="C30" i="20" s="1"/>
  <c r="D12" i="20"/>
  <c r="D30" i="20" s="1"/>
  <c r="E12" i="20"/>
  <c r="E30" i="20" s="1"/>
  <c r="F12" i="20"/>
  <c r="F30" i="20" s="1"/>
  <c r="G12" i="20"/>
  <c r="G30" i="20" s="1"/>
  <c r="H12" i="20"/>
  <c r="H30" i="20" s="1"/>
  <c r="I12" i="20"/>
  <c r="I30" i="20" s="1"/>
  <c r="J12" i="20"/>
  <c r="J30" i="20" s="1"/>
  <c r="K12" i="20"/>
  <c r="K30" i="20" s="1"/>
  <c r="L12" i="20"/>
  <c r="L30" i="20" s="1"/>
  <c r="M12" i="20"/>
  <c r="M30" i="20" s="1"/>
  <c r="B12" i="20"/>
  <c r="B22" i="6"/>
  <c r="B11" i="19"/>
  <c r="I23" i="20" l="1"/>
  <c r="M23" i="20"/>
  <c r="G23" i="20"/>
  <c r="K23" i="20"/>
  <c r="B30" i="20"/>
  <c r="N12" i="20"/>
  <c r="C11" i="19"/>
  <c r="D11" i="19" s="1"/>
  <c r="E11" i="19" s="1"/>
  <c r="C12" i="19"/>
  <c r="D12" i="19" s="1"/>
  <c r="E12" i="19" s="1"/>
  <c r="F12" i="19" s="1"/>
  <c r="G12" i="19" s="1"/>
  <c r="H12" i="19" s="1"/>
  <c r="I12" i="19" s="1"/>
  <c r="J12" i="19" s="1"/>
  <c r="K12" i="19" s="1"/>
  <c r="L12" i="19" s="1"/>
  <c r="M12" i="19" s="1"/>
  <c r="B10" i="19"/>
  <c r="N12" i="19" l="1"/>
  <c r="C10" i="19"/>
  <c r="D16" i="11" s="1"/>
  <c r="D72" i="11" s="1"/>
  <c r="B8" i="20"/>
  <c r="C16" i="11"/>
  <c r="D10" i="19"/>
  <c r="F11" i="19"/>
  <c r="E10" i="19"/>
  <c r="M14" i="1"/>
  <c r="M33" i="1" s="1"/>
  <c r="Y33" i="1" s="1"/>
  <c r="Y35" i="1" s="1"/>
  <c r="L14" i="1"/>
  <c r="L33" i="1" s="1"/>
  <c r="X33" i="1" s="1"/>
  <c r="X35" i="1" s="1"/>
  <c r="K14" i="1"/>
  <c r="K33" i="1" s="1"/>
  <c r="W33" i="1" s="1"/>
  <c r="W35" i="1" s="1"/>
  <c r="J14" i="1"/>
  <c r="J33" i="1" s="1"/>
  <c r="V33" i="1" s="1"/>
  <c r="V35" i="1" s="1"/>
  <c r="I14" i="1"/>
  <c r="I33" i="1" s="1"/>
  <c r="U33" i="1" s="1"/>
  <c r="U35" i="1" s="1"/>
  <c r="H14" i="1"/>
  <c r="H33" i="1" s="1"/>
  <c r="T33" i="1" s="1"/>
  <c r="T35" i="1" s="1"/>
  <c r="G14" i="1"/>
  <c r="G33" i="1" s="1"/>
  <c r="S33" i="1" s="1"/>
  <c r="S35" i="1" s="1"/>
  <c r="F14" i="1"/>
  <c r="F33" i="1" s="1"/>
  <c r="R33" i="1" s="1"/>
  <c r="R35" i="1" s="1"/>
  <c r="E14" i="1"/>
  <c r="E33" i="1" s="1"/>
  <c r="Q33" i="1" s="1"/>
  <c r="Q35" i="1" s="1"/>
  <c r="D14" i="1"/>
  <c r="D33" i="1" s="1"/>
  <c r="P33" i="1" s="1"/>
  <c r="P35" i="1" s="1"/>
  <c r="C14" i="1"/>
  <c r="C33" i="1" s="1"/>
  <c r="O33" i="1" s="1"/>
  <c r="O35" i="1" s="1"/>
  <c r="B14" i="1"/>
  <c r="M10" i="1"/>
  <c r="M29" i="1" s="1"/>
  <c r="Y29" i="1" s="1"/>
  <c r="Y31" i="1" s="1"/>
  <c r="L10" i="1"/>
  <c r="L29" i="1" s="1"/>
  <c r="X29" i="1" s="1"/>
  <c r="X31" i="1" s="1"/>
  <c r="K10" i="1"/>
  <c r="K29" i="1" s="1"/>
  <c r="W29" i="1" s="1"/>
  <c r="W31" i="1" s="1"/>
  <c r="J10" i="1"/>
  <c r="J29" i="1" s="1"/>
  <c r="V29" i="1" s="1"/>
  <c r="V31" i="1" s="1"/>
  <c r="I10" i="1"/>
  <c r="I29" i="1" s="1"/>
  <c r="U29" i="1" s="1"/>
  <c r="U31" i="1" s="1"/>
  <c r="H10" i="1"/>
  <c r="H29" i="1" s="1"/>
  <c r="T29" i="1" s="1"/>
  <c r="T31" i="1" s="1"/>
  <c r="G10" i="1"/>
  <c r="G29" i="1" s="1"/>
  <c r="S29" i="1" s="1"/>
  <c r="S31" i="1" s="1"/>
  <c r="F10" i="1"/>
  <c r="F29" i="1" s="1"/>
  <c r="R29" i="1" s="1"/>
  <c r="R31" i="1" s="1"/>
  <c r="E10" i="1"/>
  <c r="E29" i="1" s="1"/>
  <c r="Q29" i="1" s="1"/>
  <c r="Q31" i="1" s="1"/>
  <c r="D10" i="1"/>
  <c r="D29" i="1" s="1"/>
  <c r="P29" i="1" s="1"/>
  <c r="P31" i="1" s="1"/>
  <c r="C10" i="1"/>
  <c r="C29" i="1" s="1"/>
  <c r="O29" i="1" s="1"/>
  <c r="O31" i="1" s="1"/>
  <c r="B10" i="1"/>
  <c r="M6" i="1"/>
  <c r="M25" i="1" s="1"/>
  <c r="Y25" i="1" s="1"/>
  <c r="L6" i="1"/>
  <c r="L25" i="1" s="1"/>
  <c r="X25" i="1" s="1"/>
  <c r="K6" i="1"/>
  <c r="K25" i="1" s="1"/>
  <c r="W25" i="1" s="1"/>
  <c r="J6" i="1"/>
  <c r="J25" i="1" s="1"/>
  <c r="V25" i="1" s="1"/>
  <c r="I6" i="1"/>
  <c r="I25" i="1" s="1"/>
  <c r="U25" i="1" s="1"/>
  <c r="H6" i="1"/>
  <c r="H25" i="1" s="1"/>
  <c r="T25" i="1" s="1"/>
  <c r="G6" i="1"/>
  <c r="G25" i="1" s="1"/>
  <c r="S25" i="1" s="1"/>
  <c r="F6" i="1"/>
  <c r="F25" i="1" s="1"/>
  <c r="R25" i="1" s="1"/>
  <c r="E6" i="1"/>
  <c r="E25" i="1" s="1"/>
  <c r="Q25" i="1" s="1"/>
  <c r="D6" i="1"/>
  <c r="D25" i="1" s="1"/>
  <c r="P25" i="1" s="1"/>
  <c r="C6" i="1"/>
  <c r="B29" i="1" l="1"/>
  <c r="N29" i="1" s="1"/>
  <c r="N31" i="1" s="1"/>
  <c r="O10" i="1"/>
  <c r="B5" i="14" s="1"/>
  <c r="O14" i="1"/>
  <c r="B6" i="14" s="1"/>
  <c r="C25" i="1"/>
  <c r="O25" i="1" s="1"/>
  <c r="O6" i="1"/>
  <c r="B4" i="14" s="1"/>
  <c r="B33" i="1"/>
  <c r="N33" i="1" s="1"/>
  <c r="N35" i="1" s="1"/>
  <c r="N36" i="1" s="1"/>
  <c r="J18" i="1"/>
  <c r="B18" i="1"/>
  <c r="B31" i="1"/>
  <c r="F67" i="1"/>
  <c r="F31" i="1"/>
  <c r="S8" i="11" s="1"/>
  <c r="J67" i="1"/>
  <c r="J31" i="1"/>
  <c r="W8" i="11" s="1"/>
  <c r="F68" i="1"/>
  <c r="F35" i="1"/>
  <c r="S9" i="11" s="1"/>
  <c r="J68" i="1"/>
  <c r="J35" i="1"/>
  <c r="W9" i="11" s="1"/>
  <c r="C18" i="1"/>
  <c r="G18" i="1"/>
  <c r="K18" i="1"/>
  <c r="C67" i="1"/>
  <c r="C31" i="1"/>
  <c r="P8" i="11" s="1"/>
  <c r="G67" i="1"/>
  <c r="G31" i="1"/>
  <c r="T8" i="11" s="1"/>
  <c r="K67" i="1"/>
  <c r="K31" i="1"/>
  <c r="X8" i="11" s="1"/>
  <c r="C68" i="1"/>
  <c r="C35" i="1"/>
  <c r="P9" i="11" s="1"/>
  <c r="G68" i="1"/>
  <c r="G35" i="1"/>
  <c r="T9" i="11" s="1"/>
  <c r="K68" i="1"/>
  <c r="K35" i="1"/>
  <c r="X9" i="11" s="1"/>
  <c r="F18" i="1"/>
  <c r="D18" i="1"/>
  <c r="H18" i="1"/>
  <c r="L18" i="1"/>
  <c r="D67" i="1"/>
  <c r="D31" i="1"/>
  <c r="Q8" i="11" s="1"/>
  <c r="H67" i="1"/>
  <c r="H31" i="1"/>
  <c r="U8" i="11" s="1"/>
  <c r="L67" i="1"/>
  <c r="L31" i="1"/>
  <c r="Y8" i="11" s="1"/>
  <c r="D68" i="1"/>
  <c r="D35" i="1"/>
  <c r="Q9" i="11" s="1"/>
  <c r="H68" i="1"/>
  <c r="H35" i="1"/>
  <c r="U9" i="11" s="1"/>
  <c r="L68" i="1"/>
  <c r="L35" i="1"/>
  <c r="Y9" i="11" s="1"/>
  <c r="E18" i="1"/>
  <c r="I18" i="1"/>
  <c r="M18" i="1"/>
  <c r="E67" i="1"/>
  <c r="E31" i="1"/>
  <c r="R8" i="11" s="1"/>
  <c r="I67" i="1"/>
  <c r="I31" i="1"/>
  <c r="V8" i="11" s="1"/>
  <c r="M67" i="1"/>
  <c r="M31" i="1"/>
  <c r="Z8" i="11" s="1"/>
  <c r="E68" i="1"/>
  <c r="E35" i="1"/>
  <c r="R9" i="11" s="1"/>
  <c r="I68" i="1"/>
  <c r="I35" i="1"/>
  <c r="V9" i="11" s="1"/>
  <c r="M68" i="1"/>
  <c r="M35" i="1"/>
  <c r="Z9" i="11" s="1"/>
  <c r="E66" i="1"/>
  <c r="E83" i="1"/>
  <c r="J66" i="1"/>
  <c r="J83" i="1"/>
  <c r="C66" i="1"/>
  <c r="C83" i="1"/>
  <c r="K66" i="1"/>
  <c r="K83" i="1"/>
  <c r="I66" i="1"/>
  <c r="I83" i="1"/>
  <c r="M66" i="1"/>
  <c r="M83" i="1"/>
  <c r="F66" i="1"/>
  <c r="F83" i="1"/>
  <c r="B67" i="1"/>
  <c r="B68" i="1"/>
  <c r="G66" i="1"/>
  <c r="G83" i="1"/>
  <c r="D66" i="1"/>
  <c r="D83" i="1"/>
  <c r="H66" i="1"/>
  <c r="H83" i="1"/>
  <c r="L66" i="1"/>
  <c r="L83" i="1"/>
  <c r="C8" i="20"/>
  <c r="E8" i="20"/>
  <c r="F16" i="11"/>
  <c r="F72" i="11" s="1"/>
  <c r="C72" i="11"/>
  <c r="D8" i="20"/>
  <c r="E16" i="11"/>
  <c r="E72" i="11" s="1"/>
  <c r="K5" i="5"/>
  <c r="L5" i="5"/>
  <c r="M5" i="5"/>
  <c r="J5" i="5"/>
  <c r="B5" i="5"/>
  <c r="B83" i="1"/>
  <c r="E5" i="5"/>
  <c r="I5" i="5"/>
  <c r="F5" i="5"/>
  <c r="G5" i="5"/>
  <c r="H5" i="5"/>
  <c r="C5" i="5"/>
  <c r="D5" i="5"/>
  <c r="G11" i="19"/>
  <c r="F10" i="19"/>
  <c r="H61" i="1"/>
  <c r="L61" i="1"/>
  <c r="J61" i="1"/>
  <c r="K61" i="1"/>
  <c r="C88" i="13"/>
  <c r="C91" i="13"/>
  <c r="G69" i="1" l="1"/>
  <c r="J69" i="1"/>
  <c r="N18" i="1"/>
  <c r="E69" i="1"/>
  <c r="E8" i="5" s="1"/>
  <c r="N68" i="1"/>
  <c r="B35" i="1"/>
  <c r="O9" i="11" s="1"/>
  <c r="O8" i="11"/>
  <c r="H69" i="1"/>
  <c r="H8" i="5" s="1"/>
  <c r="M69" i="1"/>
  <c r="M8" i="5" s="1"/>
  <c r="M7" i="19" s="1"/>
  <c r="M7" i="20" s="1"/>
  <c r="K69" i="1"/>
  <c r="K8" i="5" s="1"/>
  <c r="L69" i="1"/>
  <c r="L8" i="5" s="1"/>
  <c r="L7" i="19" s="1"/>
  <c r="L7" i="20" s="1"/>
  <c r="D69" i="1"/>
  <c r="D8" i="5" s="1"/>
  <c r="F69" i="1"/>
  <c r="I69" i="1"/>
  <c r="I8" i="5" s="1"/>
  <c r="E27" i="1"/>
  <c r="Q27" i="1"/>
  <c r="Q36" i="1" s="1"/>
  <c r="T27" i="1"/>
  <c r="T36" i="1" s="1"/>
  <c r="H27" i="1"/>
  <c r="S27" i="1"/>
  <c r="S36" i="1" s="1"/>
  <c r="G27" i="1"/>
  <c r="I27" i="1"/>
  <c r="U27" i="1"/>
  <c r="U36" i="1" s="1"/>
  <c r="X27" i="1"/>
  <c r="X36" i="1" s="1"/>
  <c r="L27" i="1"/>
  <c r="P27" i="1"/>
  <c r="P36" i="1" s="1"/>
  <c r="D27" i="1"/>
  <c r="K27" i="1"/>
  <c r="W27" i="1"/>
  <c r="W36" i="1" s="1"/>
  <c r="C27" i="1"/>
  <c r="O27" i="1"/>
  <c r="O36" i="1" s="1"/>
  <c r="V27" i="1"/>
  <c r="V36" i="1" s="1"/>
  <c r="J27" i="1"/>
  <c r="M27" i="1"/>
  <c r="Y27" i="1"/>
  <c r="Y36" i="1" s="1"/>
  <c r="R27" i="1"/>
  <c r="R36" i="1" s="1"/>
  <c r="F27" i="1"/>
  <c r="G8" i="5"/>
  <c r="H15" i="11" s="1"/>
  <c r="J8" i="5"/>
  <c r="J7" i="19" s="1"/>
  <c r="J7" i="20" s="1"/>
  <c r="F8" i="5"/>
  <c r="G15" i="11" s="1"/>
  <c r="F8" i="20"/>
  <c r="G16" i="11"/>
  <c r="N15" i="11"/>
  <c r="N67" i="1"/>
  <c r="B69" i="1"/>
  <c r="N5" i="5"/>
  <c r="C69" i="1"/>
  <c r="N66" i="1"/>
  <c r="H11" i="19"/>
  <c r="G10" i="19"/>
  <c r="M61" i="1"/>
  <c r="H71" i="11" l="1"/>
  <c r="G71" i="11"/>
  <c r="G17" i="11"/>
  <c r="G5" i="23" s="1"/>
  <c r="G8" i="23" s="1"/>
  <c r="N71" i="11"/>
  <c r="E7" i="19"/>
  <c r="E7" i="20" s="1"/>
  <c r="F15" i="11"/>
  <c r="I7" i="19"/>
  <c r="I7" i="20" s="1"/>
  <c r="J15" i="11"/>
  <c r="O11" i="11"/>
  <c r="O4" i="23" s="1"/>
  <c r="O7" i="23" s="1"/>
  <c r="B36" i="1"/>
  <c r="D36" i="1"/>
  <c r="Q7" i="11"/>
  <c r="Q11" i="11" s="1"/>
  <c r="Q4" i="23" s="1"/>
  <c r="Q7" i="23" s="1"/>
  <c r="H36" i="1"/>
  <c r="U7" i="11"/>
  <c r="U11" i="11" s="1"/>
  <c r="U4" i="23" s="1"/>
  <c r="U7" i="23" s="1"/>
  <c r="M36" i="1"/>
  <c r="Z7" i="11"/>
  <c r="Z11" i="11" s="1"/>
  <c r="Z4" i="23" s="1"/>
  <c r="Z7" i="23" s="1"/>
  <c r="C36" i="1"/>
  <c r="P7" i="11"/>
  <c r="P11" i="11" s="1"/>
  <c r="P4" i="23" s="1"/>
  <c r="P7" i="23" s="1"/>
  <c r="I36" i="1"/>
  <c r="V7" i="11"/>
  <c r="V11" i="11" s="1"/>
  <c r="V4" i="23" s="1"/>
  <c r="V7" i="23" s="1"/>
  <c r="J36" i="1"/>
  <c r="W7" i="11"/>
  <c r="W11" i="11" s="1"/>
  <c r="W4" i="23" s="1"/>
  <c r="W7" i="23" s="1"/>
  <c r="F36" i="1"/>
  <c r="S7" i="11"/>
  <c r="S11" i="11" s="1"/>
  <c r="S4" i="23" s="1"/>
  <c r="S7" i="23" s="1"/>
  <c r="L36" i="1"/>
  <c r="Y7" i="11"/>
  <c r="Y11" i="11" s="1"/>
  <c r="Y4" i="23" s="1"/>
  <c r="Y7" i="23" s="1"/>
  <c r="G36" i="1"/>
  <c r="T7" i="11"/>
  <c r="T11" i="11" s="1"/>
  <c r="T4" i="23" s="1"/>
  <c r="T7" i="23" s="1"/>
  <c r="K36" i="1"/>
  <c r="X7" i="11"/>
  <c r="X11" i="11" s="1"/>
  <c r="X4" i="23" s="1"/>
  <c r="X7" i="23" s="1"/>
  <c r="E36" i="1"/>
  <c r="R7" i="11"/>
  <c r="R11" i="11" s="1"/>
  <c r="R4" i="23" s="1"/>
  <c r="R7" i="23" s="1"/>
  <c r="E15" i="11"/>
  <c r="D7" i="19"/>
  <c r="D6" i="19" s="1"/>
  <c r="H7" i="19"/>
  <c r="H7" i="20" s="1"/>
  <c r="I15" i="11"/>
  <c r="L15" i="11"/>
  <c r="K7" i="19"/>
  <c r="K7" i="20" s="1"/>
  <c r="G7" i="19"/>
  <c r="G7" i="20" s="1"/>
  <c r="F7" i="19"/>
  <c r="M15" i="11"/>
  <c r="K15" i="11"/>
  <c r="G8" i="20"/>
  <c r="H16" i="11"/>
  <c r="H72" i="11" s="1"/>
  <c r="G72" i="11"/>
  <c r="B8" i="5"/>
  <c r="C8" i="5"/>
  <c r="N69" i="1"/>
  <c r="I11" i="19"/>
  <c r="H10" i="19"/>
  <c r="D7" i="20" l="1"/>
  <c r="K71" i="11"/>
  <c r="L71" i="11"/>
  <c r="I71" i="11"/>
  <c r="J71" i="11"/>
  <c r="H17" i="11"/>
  <c r="H5" i="23" s="1"/>
  <c r="H8" i="23" s="1"/>
  <c r="F71" i="11"/>
  <c r="F17" i="11"/>
  <c r="F5" i="23" s="1"/>
  <c r="F8" i="23" s="1"/>
  <c r="M71" i="11"/>
  <c r="E71" i="11"/>
  <c r="E17" i="11"/>
  <c r="E5" i="23" s="1"/>
  <c r="E8" i="23" s="1"/>
  <c r="G6" i="19"/>
  <c r="E6" i="19"/>
  <c r="F7" i="20"/>
  <c r="F6" i="19"/>
  <c r="B7" i="19"/>
  <c r="B6" i="19" s="1"/>
  <c r="B5" i="19" s="1"/>
  <c r="H8" i="20"/>
  <c r="I16" i="11"/>
  <c r="I17" i="11" s="1"/>
  <c r="I5" i="23" s="1"/>
  <c r="I8" i="23" s="1"/>
  <c r="C15" i="11"/>
  <c r="O5" i="13"/>
  <c r="C96" i="13" s="1"/>
  <c r="C7" i="19"/>
  <c r="D15" i="11"/>
  <c r="N8" i="5"/>
  <c r="B16" i="5" s="1"/>
  <c r="J11" i="19"/>
  <c r="I10" i="19"/>
  <c r="H6" i="19"/>
  <c r="E24" i="7"/>
  <c r="C25" i="7" s="1"/>
  <c r="B19" i="7"/>
  <c r="D26" i="7" s="1"/>
  <c r="B17" i="7"/>
  <c r="B16" i="7"/>
  <c r="G11" i="14"/>
  <c r="H11" i="14" s="1"/>
  <c r="E9" i="14"/>
  <c r="G9" i="14" s="1"/>
  <c r="H9" i="14" s="1"/>
  <c r="C32" i="11" l="1"/>
  <c r="C34" i="11" s="1"/>
  <c r="C17" i="11"/>
  <c r="C5" i="23" s="1"/>
  <c r="D71" i="11"/>
  <c r="D17" i="11"/>
  <c r="D5" i="23" s="1"/>
  <c r="D8" i="23" s="1"/>
  <c r="B7" i="20"/>
  <c r="I72" i="11"/>
  <c r="I8" i="20"/>
  <c r="J16" i="11"/>
  <c r="C7" i="20"/>
  <c r="C6" i="19"/>
  <c r="I6" i="19"/>
  <c r="K11" i="19"/>
  <c r="J10" i="19"/>
  <c r="D25" i="7"/>
  <c r="D33" i="7"/>
  <c r="D29" i="7"/>
  <c r="D36" i="7"/>
  <c r="D32" i="7"/>
  <c r="D28" i="7"/>
  <c r="D35" i="7"/>
  <c r="D31" i="7"/>
  <c r="D27" i="7"/>
  <c r="D34" i="7"/>
  <c r="D30" i="7"/>
  <c r="B25" i="7" l="1"/>
  <c r="E25" i="7" s="1"/>
  <c r="D37" i="7"/>
  <c r="C37" i="11" s="1"/>
  <c r="C8" i="23"/>
  <c r="J72" i="11"/>
  <c r="J17" i="11"/>
  <c r="J5" i="23" s="1"/>
  <c r="J8" i="23" s="1"/>
  <c r="N7" i="20"/>
  <c r="B25" i="20"/>
  <c r="B23" i="20" s="1"/>
  <c r="J8" i="20"/>
  <c r="K16" i="11"/>
  <c r="L11" i="19"/>
  <c r="K10" i="19"/>
  <c r="J6" i="19"/>
  <c r="C26" i="7"/>
  <c r="B26" i="7" s="1"/>
  <c r="E26" i="7" s="1"/>
  <c r="B14" i="8"/>
  <c r="B15" i="8"/>
  <c r="B16" i="8"/>
  <c r="B17" i="8"/>
  <c r="D17" i="8" s="1"/>
  <c r="B18" i="8"/>
  <c r="B19" i="8"/>
  <c r="B20" i="8"/>
  <c r="B13" i="8"/>
  <c r="B9" i="8"/>
  <c r="B10" i="8"/>
  <c r="B11" i="8"/>
  <c r="B6" i="8"/>
  <c r="B7" i="8"/>
  <c r="B5" i="8"/>
  <c r="E22" i="13"/>
  <c r="E21" i="13"/>
  <c r="E73" i="13"/>
  <c r="E72" i="13"/>
  <c r="E60" i="13"/>
  <c r="E59" i="13"/>
  <c r="C32" i="13"/>
  <c r="E32" i="13" s="1"/>
  <c r="E31" i="13"/>
  <c r="C39" i="14"/>
  <c r="C27" i="14"/>
  <c r="D5" i="8" l="1"/>
  <c r="E5" i="8" s="1"/>
  <c r="G5" i="8"/>
  <c r="D10" i="8"/>
  <c r="G10" i="8"/>
  <c r="D19" i="8"/>
  <c r="G19" i="8"/>
  <c r="D15" i="8"/>
  <c r="G15" i="8"/>
  <c r="D7" i="8"/>
  <c r="G7" i="8"/>
  <c r="D9" i="8"/>
  <c r="G9" i="8"/>
  <c r="D18" i="8"/>
  <c r="G18" i="8"/>
  <c r="D14" i="8"/>
  <c r="G14" i="8"/>
  <c r="D13" i="8"/>
  <c r="G13" i="8"/>
  <c r="D6" i="8"/>
  <c r="G6" i="8"/>
  <c r="D11" i="8"/>
  <c r="G11" i="8"/>
  <c r="D20" i="8"/>
  <c r="G20" i="8"/>
  <c r="D16" i="8"/>
  <c r="G16" i="8"/>
  <c r="E37" i="11"/>
  <c r="D37" i="11"/>
  <c r="G37" i="11"/>
  <c r="F37" i="11"/>
  <c r="K72" i="11"/>
  <c r="K17" i="11"/>
  <c r="K5" i="23" s="1"/>
  <c r="K8" i="23" s="1"/>
  <c r="K8" i="20"/>
  <c r="L16" i="11"/>
  <c r="L17" i="11" s="1"/>
  <c r="L5" i="23" s="1"/>
  <c r="L8" i="23" s="1"/>
  <c r="K6" i="19"/>
  <c r="M11" i="19"/>
  <c r="N11" i="19" s="1"/>
  <c r="L10" i="19"/>
  <c r="C27" i="7"/>
  <c r="B27" i="7" s="1"/>
  <c r="E27" i="7" s="1"/>
  <c r="C28" i="7" s="1"/>
  <c r="B28" i="7" s="1"/>
  <c r="E28" i="7" s="1"/>
  <c r="C29" i="7" s="1"/>
  <c r="B29" i="7" s="1"/>
  <c r="E29" i="7" s="1"/>
  <c r="J10" i="13"/>
  <c r="J6" i="13"/>
  <c r="J8" i="13"/>
  <c r="J9" i="13"/>
  <c r="J5" i="13"/>
  <c r="H7" i="13"/>
  <c r="J7" i="13" s="1"/>
  <c r="J11" i="13" l="1"/>
  <c r="J19" i="13" s="1"/>
  <c r="L8" i="20"/>
  <c r="M16" i="11"/>
  <c r="L72" i="11"/>
  <c r="M10" i="19"/>
  <c r="L6" i="19"/>
  <c r="C30" i="7"/>
  <c r="B30" i="7" s="1"/>
  <c r="E30" i="7" s="1"/>
  <c r="E61" i="13"/>
  <c r="E62" i="13"/>
  <c r="E63" i="13"/>
  <c r="E64" i="13"/>
  <c r="E65" i="13"/>
  <c r="E66" i="13"/>
  <c r="E67" i="13"/>
  <c r="E68" i="13"/>
  <c r="E69" i="13"/>
  <c r="E70" i="13"/>
  <c r="E71" i="13"/>
  <c r="E74" i="13"/>
  <c r="E75" i="13"/>
  <c r="E76" i="13"/>
  <c r="E54" i="13"/>
  <c r="E55" i="13"/>
  <c r="E56" i="13"/>
  <c r="E57" i="13"/>
  <c r="E58" i="13"/>
  <c r="E53" i="13"/>
  <c r="E35" i="13"/>
  <c r="E36" i="13"/>
  <c r="E38" i="13"/>
  <c r="E39" i="13"/>
  <c r="E40" i="13"/>
  <c r="E41" i="13"/>
  <c r="E43" i="13"/>
  <c r="E44" i="13"/>
  <c r="E45" i="13"/>
  <c r="E46" i="13"/>
  <c r="E48" i="13"/>
  <c r="E49" i="13"/>
  <c r="E50" i="13"/>
  <c r="E51" i="13"/>
  <c r="E30" i="13"/>
  <c r="E29" i="13"/>
  <c r="E26" i="13"/>
  <c r="E27" i="13"/>
  <c r="E25" i="13"/>
  <c r="E16" i="13"/>
  <c r="E17" i="13"/>
  <c r="E18" i="13"/>
  <c r="E19" i="13"/>
  <c r="E20" i="13"/>
  <c r="E15" i="13"/>
  <c r="E11" i="13"/>
  <c r="E12" i="13"/>
  <c r="E13" i="13"/>
  <c r="E10" i="13"/>
  <c r="E7" i="13"/>
  <c r="E8" i="13"/>
  <c r="E6" i="13"/>
  <c r="N10" i="19" l="1"/>
  <c r="C25" i="19" s="1"/>
  <c r="O16" i="11"/>
  <c r="S16" i="11"/>
  <c r="W16" i="11"/>
  <c r="N16" i="11"/>
  <c r="N17" i="11" s="1"/>
  <c r="N5" i="23" s="1"/>
  <c r="N8" i="23" s="1"/>
  <c r="P16" i="11"/>
  <c r="T16" i="11"/>
  <c r="X16" i="11"/>
  <c r="Q16" i="11"/>
  <c r="U16" i="11"/>
  <c r="Y16" i="11"/>
  <c r="R16" i="11"/>
  <c r="V16" i="11"/>
  <c r="Z16" i="11"/>
  <c r="M72" i="11"/>
  <c r="M17" i="11"/>
  <c r="M5" i="23" s="1"/>
  <c r="M8" i="20"/>
  <c r="N8" i="20" s="1"/>
  <c r="M6" i="19"/>
  <c r="N6" i="19" s="1"/>
  <c r="C23" i="19" s="1"/>
  <c r="E14" i="13"/>
  <c r="E24" i="13"/>
  <c r="C31" i="7"/>
  <c r="B31" i="7" s="1"/>
  <c r="E31" i="7" s="1"/>
  <c r="E28" i="13"/>
  <c r="B23" i="8" s="1"/>
  <c r="J5" i="4"/>
  <c r="J6" i="4"/>
  <c r="J7" i="4"/>
  <c r="I4" i="4"/>
  <c r="J4" i="4" s="1"/>
  <c r="M5" i="4"/>
  <c r="M6" i="4"/>
  <c r="M7" i="4"/>
  <c r="M4" i="4"/>
  <c r="K5" i="4"/>
  <c r="L5" i="4" s="1"/>
  <c r="K6" i="4"/>
  <c r="L6" i="4" s="1"/>
  <c r="K7" i="4"/>
  <c r="L7" i="4" s="1"/>
  <c r="K4" i="4"/>
  <c r="G4" i="4"/>
  <c r="G5" i="4"/>
  <c r="G6" i="4"/>
  <c r="G7" i="4"/>
  <c r="D23" i="8" l="1"/>
  <c r="G23" i="8" s="1"/>
  <c r="M8" i="23"/>
  <c r="N4" i="4"/>
  <c r="B44" i="20"/>
  <c r="N72" i="11"/>
  <c r="N7" i="4"/>
  <c r="N6" i="4"/>
  <c r="E23" i="13"/>
  <c r="B22" i="8"/>
  <c r="C32" i="7"/>
  <c r="B32" i="7" s="1"/>
  <c r="E32" i="7" s="1"/>
  <c r="N5" i="4"/>
  <c r="L4" i="4"/>
  <c r="D22" i="8" l="1"/>
  <c r="G22" i="8" s="1"/>
  <c r="B45" i="20"/>
  <c r="E44" i="20"/>
  <c r="E45" i="20" s="1"/>
  <c r="F44" i="20"/>
  <c r="F45" i="20" s="1"/>
  <c r="C44" i="20"/>
  <c r="C45" i="20" s="1"/>
  <c r="D44" i="20"/>
  <c r="D45" i="20" s="1"/>
  <c r="N8" i="4"/>
  <c r="C33" i="7"/>
  <c r="B33" i="7" s="1"/>
  <c r="E33" i="7" s="1"/>
  <c r="D6" i="14"/>
  <c r="D5" i="14"/>
  <c r="C29" i="14" s="1"/>
  <c r="D4" i="14"/>
  <c r="E5" i="13"/>
  <c r="F24" i="19" l="1"/>
  <c r="G24" i="19"/>
  <c r="F6" i="14"/>
  <c r="C41" i="14"/>
  <c r="F4" i="14"/>
  <c r="C17" i="14"/>
  <c r="F5" i="14"/>
  <c r="G70" i="11"/>
  <c r="G73" i="11" s="1"/>
  <c r="M70" i="11"/>
  <c r="M73" i="11" s="1"/>
  <c r="L70" i="11"/>
  <c r="L73" i="11" s="1"/>
  <c r="F70" i="11"/>
  <c r="F73" i="11" s="1"/>
  <c r="I70" i="11"/>
  <c r="I73" i="11" s="1"/>
  <c r="H70" i="11"/>
  <c r="H73" i="11" s="1"/>
  <c r="E70" i="11"/>
  <c r="E73" i="11" s="1"/>
  <c r="D70" i="11"/>
  <c r="D73" i="11" s="1"/>
  <c r="K70" i="11"/>
  <c r="K73" i="11" s="1"/>
  <c r="J70" i="11"/>
  <c r="J73" i="11" s="1"/>
  <c r="N70" i="11"/>
  <c r="N73" i="11" s="1"/>
  <c r="C34" i="7"/>
  <c r="B34" i="7" s="1"/>
  <c r="E34" i="7" s="1"/>
  <c r="C47" i="13"/>
  <c r="E47" i="13" s="1"/>
  <c r="C42" i="13"/>
  <c r="E42" i="13" s="1"/>
  <c r="C37" i="13"/>
  <c r="E37" i="13" s="1"/>
  <c r="C34" i="13"/>
  <c r="E34" i="13" s="1"/>
  <c r="B6" i="20" l="1"/>
  <c r="B5" i="20" s="1"/>
  <c r="B4" i="19"/>
  <c r="C6" i="20"/>
  <c r="C5" i="20" s="1"/>
  <c r="C5" i="19"/>
  <c r="C4" i="19" s="1"/>
  <c r="C35" i="7"/>
  <c r="B35" i="7" s="1"/>
  <c r="E35" i="7" s="1"/>
  <c r="B7" i="14"/>
  <c r="C5" i="14" s="1"/>
  <c r="G5" i="14" s="1"/>
  <c r="E6" i="8"/>
  <c r="E7" i="8"/>
  <c r="E9" i="8"/>
  <c r="E10" i="8"/>
  <c r="E11" i="8"/>
  <c r="E13" i="8"/>
  <c r="E14" i="8"/>
  <c r="E15" i="8"/>
  <c r="E16" i="8"/>
  <c r="E17" i="8"/>
  <c r="E18" i="8"/>
  <c r="E19" i="8"/>
  <c r="E20" i="8"/>
  <c r="E22" i="8"/>
  <c r="E23" i="8"/>
  <c r="D5" i="7"/>
  <c r="E52" i="13"/>
  <c r="E33" i="13"/>
  <c r="B24" i="8" s="1"/>
  <c r="D24" i="8" s="1"/>
  <c r="E24" i="8" s="1"/>
  <c r="E9" i="13"/>
  <c r="D6" i="20" l="1"/>
  <c r="D5" i="20" s="1"/>
  <c r="D5" i="19"/>
  <c r="D4" i="19" s="1"/>
  <c r="E77" i="13"/>
  <c r="B25" i="8"/>
  <c r="D25" i="8" s="1"/>
  <c r="E25" i="8" s="1"/>
  <c r="C36" i="7"/>
  <c r="B36" i="7" s="1"/>
  <c r="E36" i="7" s="1"/>
  <c r="C6" i="14"/>
  <c r="G6" i="14" s="1"/>
  <c r="C4" i="14"/>
  <c r="G4" i="14" s="1"/>
  <c r="E6" i="20" l="1"/>
  <c r="E5" i="19"/>
  <c r="E4" i="19" s="1"/>
  <c r="D26" i="8"/>
  <c r="G7" i="14"/>
  <c r="C7" i="14"/>
  <c r="E5" i="4"/>
  <c r="E6" i="4"/>
  <c r="E7" i="4"/>
  <c r="E8" i="4"/>
  <c r="D9" i="4"/>
  <c r="O6" i="13" l="1"/>
  <c r="H8" i="19"/>
  <c r="F6" i="20"/>
  <c r="F5" i="20" s="1"/>
  <c r="F5" i="19"/>
  <c r="F4" i="19" s="1"/>
  <c r="E5" i="20"/>
  <c r="E9" i="4"/>
  <c r="G6" i="20" l="1"/>
  <c r="G5" i="20" s="1"/>
  <c r="G5" i="19"/>
  <c r="G4" i="19" s="1"/>
  <c r="I8" i="19"/>
  <c r="C94" i="13"/>
  <c r="H6" i="20" l="1"/>
  <c r="H5" i="19"/>
  <c r="H4" i="19" s="1"/>
  <c r="J8" i="19"/>
  <c r="B8" i="1"/>
  <c r="C7" i="11" s="1"/>
  <c r="B12" i="1"/>
  <c r="C8" i="11" s="1"/>
  <c r="B16" i="1"/>
  <c r="C9" i="11" s="1"/>
  <c r="C67" i="11" l="1"/>
  <c r="I6" i="20"/>
  <c r="I5" i="20" s="1"/>
  <c r="I5" i="19"/>
  <c r="I4" i="19" s="1"/>
  <c r="K8" i="19"/>
  <c r="H5" i="20"/>
  <c r="C11" i="11"/>
  <c r="B17" i="1"/>
  <c r="C4" i="23" l="1"/>
  <c r="B4" i="20"/>
  <c r="C7" i="23"/>
  <c r="B40" i="1"/>
  <c r="B41" i="1" s="1"/>
  <c r="B71" i="1"/>
  <c r="L8" i="19"/>
  <c r="J6" i="20"/>
  <c r="J5" i="20" s="1"/>
  <c r="J5" i="19"/>
  <c r="J4" i="19" s="1"/>
  <c r="C66" i="11"/>
  <c r="B42" i="1" l="1"/>
  <c r="B9" i="5"/>
  <c r="O15" i="11" s="1"/>
  <c r="B43" i="1"/>
  <c r="B10" i="5"/>
  <c r="M8" i="19"/>
  <c r="N8" i="19" s="1"/>
  <c r="K6" i="20"/>
  <c r="K5" i="20" s="1"/>
  <c r="K5" i="19"/>
  <c r="K4" i="19" s="1"/>
  <c r="C69" i="11"/>
  <c r="B22" i="20"/>
  <c r="B9" i="20"/>
  <c r="E26" i="8"/>
  <c r="O17" i="11" l="1"/>
  <c r="B44" i="1"/>
  <c r="B12" i="5" s="1"/>
  <c r="B11" i="5"/>
  <c r="M5" i="19"/>
  <c r="M6" i="20"/>
  <c r="C24" i="19"/>
  <c r="C22" i="19" s="1"/>
  <c r="C21" i="19" s="1"/>
  <c r="L6" i="20"/>
  <c r="L5" i="20" s="1"/>
  <c r="L5" i="19"/>
  <c r="L4" i="19" s="1"/>
  <c r="B11" i="20"/>
  <c r="B20" i="20"/>
  <c r="B27" i="20"/>
  <c r="B29" i="20" s="1"/>
  <c r="B32" i="20" s="1"/>
  <c r="B34" i="20" s="1"/>
  <c r="B15" i="19"/>
  <c r="B14" i="19" s="1"/>
  <c r="O18" i="11" l="1"/>
  <c r="O22" i="11" s="1"/>
  <c r="O5" i="23"/>
  <c r="M5" i="20"/>
  <c r="N6" i="20"/>
  <c r="N5" i="20" s="1"/>
  <c r="B41" i="20" s="1"/>
  <c r="M4" i="19"/>
  <c r="N5" i="19"/>
  <c r="C18" i="11"/>
  <c r="B36" i="20"/>
  <c r="B35" i="20"/>
  <c r="C15" i="19"/>
  <c r="C14" i="19" s="1"/>
  <c r="B13" i="20"/>
  <c r="C71" i="11"/>
  <c r="O8" i="23" l="1"/>
  <c r="C22" i="11"/>
  <c r="C24" i="11" s="1"/>
  <c r="N4" i="19"/>
  <c r="B14" i="20"/>
  <c r="D15" i="19"/>
  <c r="D14" i="19" s="1"/>
  <c r="C13" i="20"/>
  <c r="B13" i="19"/>
  <c r="B16" i="20" l="1"/>
  <c r="B17" i="19"/>
  <c r="C13" i="19"/>
  <c r="C17" i="19" s="1"/>
  <c r="E15" i="19"/>
  <c r="E14" i="19" s="1"/>
  <c r="D13" i="20"/>
  <c r="B18" i="20" l="1"/>
  <c r="B17" i="20"/>
  <c r="D13" i="19"/>
  <c r="F15" i="19"/>
  <c r="F14" i="19" s="1"/>
  <c r="E13" i="20"/>
  <c r="D17" i="19" l="1"/>
  <c r="E13" i="19"/>
  <c r="E17" i="19" s="1"/>
  <c r="G15" i="19"/>
  <c r="G14" i="19" s="1"/>
  <c r="F13" i="20"/>
  <c r="F13" i="19" l="1"/>
  <c r="F17" i="19" s="1"/>
  <c r="H15" i="19"/>
  <c r="H14" i="19" s="1"/>
  <c r="G13" i="20"/>
  <c r="G13" i="19" l="1"/>
  <c r="I15" i="19"/>
  <c r="I14" i="19" s="1"/>
  <c r="H13" i="20"/>
  <c r="G17" i="19" l="1"/>
  <c r="H13" i="19"/>
  <c r="H17" i="19" s="1"/>
  <c r="J15" i="19"/>
  <c r="J14" i="19" s="1"/>
  <c r="I13" i="20"/>
  <c r="B11" i="6"/>
  <c r="O7" i="13" s="1"/>
  <c r="O8" i="13" s="1"/>
  <c r="M16" i="1"/>
  <c r="N9" i="11" s="1"/>
  <c r="L16" i="1"/>
  <c r="M9" i="11" s="1"/>
  <c r="K16" i="1"/>
  <c r="L9" i="11" s="1"/>
  <c r="J16" i="1"/>
  <c r="K9" i="11" s="1"/>
  <c r="I16" i="1"/>
  <c r="J9" i="11" s="1"/>
  <c r="H16" i="1"/>
  <c r="I9" i="11" s="1"/>
  <c r="G16" i="1"/>
  <c r="H9" i="11" s="1"/>
  <c r="F16" i="1"/>
  <c r="G9" i="11" s="1"/>
  <c r="E16" i="1"/>
  <c r="F9" i="11" s="1"/>
  <c r="D16" i="1"/>
  <c r="E9" i="11" s="1"/>
  <c r="C16" i="1"/>
  <c r="D9" i="11" s="1"/>
  <c r="N15" i="1"/>
  <c r="N14" i="1"/>
  <c r="B58" i="1" s="1"/>
  <c r="M12" i="1"/>
  <c r="N8" i="11" s="1"/>
  <c r="L12" i="1"/>
  <c r="M8" i="11" s="1"/>
  <c r="K12" i="1"/>
  <c r="L8" i="11" s="1"/>
  <c r="J12" i="1"/>
  <c r="K8" i="11" s="1"/>
  <c r="I12" i="1"/>
  <c r="J8" i="11" s="1"/>
  <c r="H12" i="1"/>
  <c r="I8" i="11" s="1"/>
  <c r="G12" i="1"/>
  <c r="H8" i="11" s="1"/>
  <c r="F12" i="1"/>
  <c r="G8" i="11" s="1"/>
  <c r="E12" i="1"/>
  <c r="F8" i="11" s="1"/>
  <c r="D12" i="1"/>
  <c r="E8" i="11" s="1"/>
  <c r="C12" i="1"/>
  <c r="D8" i="11" s="1"/>
  <c r="N11" i="1"/>
  <c r="N10" i="1"/>
  <c r="B54" i="1" s="1"/>
  <c r="N7" i="1"/>
  <c r="N6" i="1"/>
  <c r="B50" i="1" s="1"/>
  <c r="M8" i="1"/>
  <c r="N7" i="11" s="1"/>
  <c r="L8" i="1"/>
  <c r="M7" i="11" s="1"/>
  <c r="K8" i="1"/>
  <c r="L7" i="11" s="1"/>
  <c r="J8" i="1"/>
  <c r="K7" i="11" s="1"/>
  <c r="I8" i="1"/>
  <c r="J7" i="11" s="1"/>
  <c r="H8" i="1"/>
  <c r="I7" i="11" s="1"/>
  <c r="G8" i="1"/>
  <c r="H7" i="11" s="1"/>
  <c r="F8" i="1"/>
  <c r="G7" i="11" s="1"/>
  <c r="E8" i="1"/>
  <c r="F7" i="11" s="1"/>
  <c r="D8" i="1"/>
  <c r="E7" i="11" s="1"/>
  <c r="C8" i="1"/>
  <c r="D7" i="11" s="1"/>
  <c r="B9" i="14" l="1"/>
  <c r="C95" i="13"/>
  <c r="C97" i="13" s="1"/>
  <c r="C98" i="13" s="1"/>
  <c r="C54" i="1"/>
  <c r="B56" i="1"/>
  <c r="C50" i="1"/>
  <c r="B52" i="1"/>
  <c r="C58" i="1"/>
  <c r="B60" i="1"/>
  <c r="G67" i="11"/>
  <c r="K67" i="11"/>
  <c r="E67" i="11"/>
  <c r="I67" i="11"/>
  <c r="M67" i="11"/>
  <c r="D67" i="11"/>
  <c r="H67" i="11"/>
  <c r="L67" i="11"/>
  <c r="F67" i="11"/>
  <c r="J67" i="11"/>
  <c r="N67" i="11"/>
  <c r="G11" i="11"/>
  <c r="K11" i="11"/>
  <c r="M11" i="11"/>
  <c r="I11" i="11"/>
  <c r="E11" i="11"/>
  <c r="D11" i="11"/>
  <c r="H11" i="11"/>
  <c r="L11" i="11"/>
  <c r="F11" i="11"/>
  <c r="J11" i="11"/>
  <c r="N11" i="11"/>
  <c r="I13" i="19"/>
  <c r="I17" i="19" s="1"/>
  <c r="K15" i="19"/>
  <c r="K14" i="19" s="1"/>
  <c r="J13" i="20"/>
  <c r="C17" i="1"/>
  <c r="C71" i="1" s="1"/>
  <c r="G17" i="1"/>
  <c r="G71" i="1" s="1"/>
  <c r="K17" i="1"/>
  <c r="K71" i="1" s="1"/>
  <c r="E17" i="1"/>
  <c r="E71" i="1" s="1"/>
  <c r="D17" i="1"/>
  <c r="D71" i="1" s="1"/>
  <c r="H17" i="1"/>
  <c r="H71" i="1" s="1"/>
  <c r="L17" i="1"/>
  <c r="L71" i="1" s="1"/>
  <c r="I17" i="1"/>
  <c r="I71" i="1" s="1"/>
  <c r="M17" i="1"/>
  <c r="F17" i="1"/>
  <c r="F71" i="1" s="1"/>
  <c r="J17" i="1"/>
  <c r="J71" i="1" s="1"/>
  <c r="N12" i="1"/>
  <c r="O67" i="1" s="1"/>
  <c r="N16" i="1"/>
  <c r="O68" i="1" s="1"/>
  <c r="N8" i="1"/>
  <c r="O66" i="1" s="1"/>
  <c r="D4" i="23" l="1"/>
  <c r="C29" i="11"/>
  <c r="C35" i="11" s="1"/>
  <c r="C38" i="11" s="1"/>
  <c r="C25" i="14"/>
  <c r="C13" i="14"/>
  <c r="C37" i="14"/>
  <c r="B19" i="14"/>
  <c r="G18" i="11"/>
  <c r="G22" i="11" s="1"/>
  <c r="G4" i="23"/>
  <c r="G7" i="23" s="1"/>
  <c r="L18" i="11"/>
  <c r="L22" i="11" s="1"/>
  <c r="L4" i="23"/>
  <c r="L7" i="23" s="1"/>
  <c r="I18" i="11"/>
  <c r="I22" i="11" s="1"/>
  <c r="I4" i="23"/>
  <c r="I7" i="23" s="1"/>
  <c r="F18" i="11"/>
  <c r="F22" i="11" s="1"/>
  <c r="F4" i="23"/>
  <c r="F7" i="23" s="1"/>
  <c r="H18" i="11"/>
  <c r="H22" i="11" s="1"/>
  <c r="H4" i="23"/>
  <c r="H7" i="23" s="1"/>
  <c r="M18" i="11"/>
  <c r="M22" i="11" s="1"/>
  <c r="M4" i="23"/>
  <c r="M7" i="23" s="1"/>
  <c r="E18" i="11"/>
  <c r="E22" i="11" s="1"/>
  <c r="E4" i="23"/>
  <c r="E7" i="23" s="1"/>
  <c r="N18" i="11"/>
  <c r="N22" i="11" s="1"/>
  <c r="N4" i="23"/>
  <c r="N7" i="23" s="1"/>
  <c r="J18" i="11"/>
  <c r="J22" i="11" s="1"/>
  <c r="J4" i="23"/>
  <c r="J7" i="23" s="1"/>
  <c r="D7" i="23"/>
  <c r="K18" i="11"/>
  <c r="K22" i="11" s="1"/>
  <c r="K4" i="23"/>
  <c r="K7" i="23" s="1"/>
  <c r="B6" i="7"/>
  <c r="B4" i="7" s="1"/>
  <c r="B13" i="11"/>
  <c r="B17" i="11" s="1"/>
  <c r="D18" i="11"/>
  <c r="D22" i="11" s="1"/>
  <c r="D24" i="11" s="1"/>
  <c r="D50" i="1"/>
  <c r="C52" i="1"/>
  <c r="D58" i="1"/>
  <c r="C60" i="1"/>
  <c r="M40" i="1"/>
  <c r="M41" i="1" s="1"/>
  <c r="M9" i="5" s="1"/>
  <c r="Z15" i="11" s="1"/>
  <c r="M71" i="1"/>
  <c r="B61" i="1"/>
  <c r="C56" i="1"/>
  <c r="D54" i="1"/>
  <c r="F40" i="1"/>
  <c r="F41" i="1" s="1"/>
  <c r="H40" i="1"/>
  <c r="H41" i="1" s="1"/>
  <c r="G40" i="1"/>
  <c r="G41" i="1" s="1"/>
  <c r="D40" i="1"/>
  <c r="D41" i="1" s="1"/>
  <c r="C40" i="1"/>
  <c r="C41" i="1" s="1"/>
  <c r="I40" i="1"/>
  <c r="I41" i="1" s="1"/>
  <c r="E40" i="1"/>
  <c r="E41" i="1" s="1"/>
  <c r="J40" i="1"/>
  <c r="J41" i="1" s="1"/>
  <c r="L40" i="1"/>
  <c r="L41" i="1" s="1"/>
  <c r="K40" i="1"/>
  <c r="K41" i="1" s="1"/>
  <c r="J13" i="19"/>
  <c r="J17" i="19" s="1"/>
  <c r="J4" i="20"/>
  <c r="M4" i="20"/>
  <c r="L4" i="20"/>
  <c r="K4" i="20"/>
  <c r="F4" i="20"/>
  <c r="I4" i="20"/>
  <c r="E4" i="20"/>
  <c r="G4" i="20"/>
  <c r="H4" i="20"/>
  <c r="C4" i="20"/>
  <c r="D4" i="20"/>
  <c r="L15" i="19"/>
  <c r="L14" i="19" s="1"/>
  <c r="K13" i="20"/>
  <c r="N17" i="1"/>
  <c r="N71" i="1" s="1"/>
  <c r="C70" i="11"/>
  <c r="C73" i="11" s="1"/>
  <c r="C74" i="11" s="1"/>
  <c r="D66" i="11" s="1"/>
  <c r="D69" i="11" s="1"/>
  <c r="E24" i="11" l="1"/>
  <c r="F24" i="11" s="1"/>
  <c r="G24" i="11" s="1"/>
  <c r="H24" i="11" s="1"/>
  <c r="I24" i="11" s="1"/>
  <c r="J24" i="11" s="1"/>
  <c r="K24" i="11" s="1"/>
  <c r="L24" i="11" s="1"/>
  <c r="N10" i="23"/>
  <c r="B12" i="23"/>
  <c r="B30" i="11"/>
  <c r="B34" i="11" s="1"/>
  <c r="B35" i="11" s="1"/>
  <c r="B38" i="11" s="1"/>
  <c r="B5" i="23"/>
  <c r="B18" i="11"/>
  <c r="B22" i="11" s="1"/>
  <c r="B39" i="11"/>
  <c r="D4" i="7"/>
  <c r="B23" i="11"/>
  <c r="Z17" i="11"/>
  <c r="M42" i="1"/>
  <c r="M43" i="1" s="1"/>
  <c r="C61" i="1"/>
  <c r="E58" i="1"/>
  <c r="D60" i="1"/>
  <c r="E54" i="1"/>
  <c r="D56" i="1"/>
  <c r="E50" i="1"/>
  <c r="D52" i="1"/>
  <c r="J42" i="1"/>
  <c r="J9" i="5"/>
  <c r="W15" i="11" s="1"/>
  <c r="D42" i="1"/>
  <c r="D9" i="5"/>
  <c r="Q15" i="11" s="1"/>
  <c r="F42" i="1"/>
  <c r="F9" i="5"/>
  <c r="S15" i="11" s="1"/>
  <c r="K42" i="1"/>
  <c r="K9" i="5"/>
  <c r="X15" i="11" s="1"/>
  <c r="I9" i="5"/>
  <c r="V15" i="11" s="1"/>
  <c r="I42" i="1"/>
  <c r="G9" i="5"/>
  <c r="T15" i="11" s="1"/>
  <c r="G42" i="1"/>
  <c r="N40" i="1"/>
  <c r="L42" i="1"/>
  <c r="L9" i="5"/>
  <c r="Y15" i="11" s="1"/>
  <c r="E9" i="5"/>
  <c r="R15" i="11" s="1"/>
  <c r="E42" i="1"/>
  <c r="C42" i="1"/>
  <c r="C9" i="5"/>
  <c r="P15" i="11" s="1"/>
  <c r="H9" i="5"/>
  <c r="U15" i="11" s="1"/>
  <c r="H42" i="1"/>
  <c r="N4" i="20"/>
  <c r="B40" i="20" s="1"/>
  <c r="B42" i="20" s="1"/>
  <c r="N41" i="1"/>
  <c r="D29" i="11" s="1"/>
  <c r="C40" i="20" s="1"/>
  <c r="K13" i="19"/>
  <c r="K17" i="19" s="1"/>
  <c r="K22" i="20"/>
  <c r="K27" i="20" s="1"/>
  <c r="K29" i="20" s="1"/>
  <c r="K32" i="20" s="1"/>
  <c r="K34" i="20" s="1"/>
  <c r="K36" i="20" s="1"/>
  <c r="K9" i="20"/>
  <c r="K11" i="20" s="1"/>
  <c r="K14" i="20" s="1"/>
  <c r="K16" i="20" s="1"/>
  <c r="K18" i="20" s="1"/>
  <c r="J22" i="20"/>
  <c r="J27" i="20" s="1"/>
  <c r="J29" i="20" s="1"/>
  <c r="J32" i="20" s="1"/>
  <c r="J34" i="20" s="1"/>
  <c r="J36" i="20" s="1"/>
  <c r="J9" i="20"/>
  <c r="J11" i="20" s="1"/>
  <c r="J14" i="20" s="1"/>
  <c r="J16" i="20" s="1"/>
  <c r="J18" i="20" s="1"/>
  <c r="L22" i="20"/>
  <c r="L27" i="20" s="1"/>
  <c r="L29" i="20" s="1"/>
  <c r="L32" i="20" s="1"/>
  <c r="L34" i="20" s="1"/>
  <c r="L36" i="20" s="1"/>
  <c r="L9" i="20"/>
  <c r="L11" i="20" s="1"/>
  <c r="M22" i="20"/>
  <c r="M27" i="20" s="1"/>
  <c r="M29" i="20" s="1"/>
  <c r="M32" i="20" s="1"/>
  <c r="M34" i="20" s="1"/>
  <c r="M36" i="20" s="1"/>
  <c r="M9" i="20"/>
  <c r="M11" i="20" s="1"/>
  <c r="G22" i="20"/>
  <c r="G27" i="20" s="1"/>
  <c r="G29" i="20" s="1"/>
  <c r="G32" i="20" s="1"/>
  <c r="G34" i="20" s="1"/>
  <c r="G36" i="20" s="1"/>
  <c r="G9" i="20"/>
  <c r="G11" i="20" s="1"/>
  <c r="G14" i="20" s="1"/>
  <c r="G16" i="20" s="1"/>
  <c r="G18" i="20" s="1"/>
  <c r="E22" i="20"/>
  <c r="E9" i="20"/>
  <c r="E11" i="20" s="1"/>
  <c r="E14" i="20" s="1"/>
  <c r="E16" i="20" s="1"/>
  <c r="E18" i="20" s="1"/>
  <c r="F22" i="20"/>
  <c r="F9" i="20"/>
  <c r="F11" i="20" s="1"/>
  <c r="F14" i="20" s="1"/>
  <c r="F16" i="20" s="1"/>
  <c r="F18" i="20" s="1"/>
  <c r="H22" i="20"/>
  <c r="H27" i="20" s="1"/>
  <c r="H29" i="20" s="1"/>
  <c r="H32" i="20" s="1"/>
  <c r="H34" i="20" s="1"/>
  <c r="H36" i="20" s="1"/>
  <c r="H9" i="20"/>
  <c r="H11" i="20" s="1"/>
  <c r="H14" i="20" s="1"/>
  <c r="H16" i="20" s="1"/>
  <c r="H18" i="20" s="1"/>
  <c r="I22" i="20"/>
  <c r="I27" i="20" s="1"/>
  <c r="I29" i="20" s="1"/>
  <c r="I32" i="20" s="1"/>
  <c r="I34" i="20" s="1"/>
  <c r="I36" i="20" s="1"/>
  <c r="I9" i="20"/>
  <c r="I11" i="20" s="1"/>
  <c r="I14" i="20" s="1"/>
  <c r="I16" i="20" s="1"/>
  <c r="I18" i="20" s="1"/>
  <c r="D22" i="20"/>
  <c r="D9" i="20"/>
  <c r="D11" i="20" s="1"/>
  <c r="D14" i="20" s="1"/>
  <c r="D16" i="20" s="1"/>
  <c r="D18" i="20" s="1"/>
  <c r="C22" i="20"/>
  <c r="C9" i="20"/>
  <c r="M15" i="19"/>
  <c r="L13" i="20"/>
  <c r="D74" i="11"/>
  <c r="E66" i="11" s="1"/>
  <c r="M10" i="5" l="1"/>
  <c r="M24" i="11"/>
  <c r="N24" i="11" s="1"/>
  <c r="O24" i="11" s="1"/>
  <c r="L14" i="20"/>
  <c r="L16" i="20" s="1"/>
  <c r="L18" i="20" s="1"/>
  <c r="B7" i="23"/>
  <c r="B8" i="23"/>
  <c r="D6" i="7"/>
  <c r="E5" i="7" s="1"/>
  <c r="Z18" i="11"/>
  <c r="Z22" i="11" s="1"/>
  <c r="Z5" i="23"/>
  <c r="N15" i="19"/>
  <c r="C28" i="19" s="1"/>
  <c r="M14" i="19"/>
  <c r="N14" i="19" s="1"/>
  <c r="D32" i="11"/>
  <c r="D34" i="11" s="1"/>
  <c r="U17" i="11"/>
  <c r="R17" i="11"/>
  <c r="X17" i="11"/>
  <c r="S17" i="11"/>
  <c r="W17" i="11"/>
  <c r="P17" i="11"/>
  <c r="Y17" i="11"/>
  <c r="T17" i="11"/>
  <c r="Q17" i="11"/>
  <c r="V17" i="11"/>
  <c r="F58" i="1"/>
  <c r="F60" i="1" s="1"/>
  <c r="E60" i="1"/>
  <c r="D61" i="1"/>
  <c r="F54" i="1"/>
  <c r="E56" i="1"/>
  <c r="F50" i="1"/>
  <c r="F52" i="1" s="1"/>
  <c r="E52" i="1"/>
  <c r="N9" i="5"/>
  <c r="C16" i="5" s="1"/>
  <c r="D23" i="19" s="1"/>
  <c r="K10" i="5"/>
  <c r="K43" i="1"/>
  <c r="F43" i="1"/>
  <c r="F10" i="5"/>
  <c r="J43" i="1"/>
  <c r="J10" i="5"/>
  <c r="C10" i="5"/>
  <c r="C43" i="1"/>
  <c r="L43" i="1"/>
  <c r="L10" i="5"/>
  <c r="I43" i="1"/>
  <c r="I10" i="5"/>
  <c r="H43" i="1"/>
  <c r="H10" i="5"/>
  <c r="E43" i="1"/>
  <c r="E10" i="5"/>
  <c r="M44" i="1"/>
  <c r="M12" i="5" s="1"/>
  <c r="M11" i="5"/>
  <c r="D43" i="1"/>
  <c r="D10" i="5"/>
  <c r="G10" i="5"/>
  <c r="G43" i="1"/>
  <c r="N9" i="20"/>
  <c r="N11" i="20" s="1"/>
  <c r="B46" i="20"/>
  <c r="B48" i="20" s="1"/>
  <c r="B50" i="20" s="1"/>
  <c r="C11" i="20"/>
  <c r="N42" i="1"/>
  <c r="E29" i="11" s="1"/>
  <c r="D40" i="20" s="1"/>
  <c r="E69" i="11"/>
  <c r="E74" i="11" s="1"/>
  <c r="F66" i="11" s="1"/>
  <c r="L13" i="19"/>
  <c r="L17" i="19" s="1"/>
  <c r="M13" i="20"/>
  <c r="Z8" i="23" l="1"/>
  <c r="D28" i="19"/>
  <c r="D27" i="19" s="1"/>
  <c r="E4" i="7"/>
  <c r="E6" i="7" s="1"/>
  <c r="D35" i="11"/>
  <c r="D38" i="11" s="1"/>
  <c r="C41" i="20"/>
  <c r="C42" i="20" s="1"/>
  <c r="C46" i="20" s="1"/>
  <c r="C48" i="20" s="1"/>
  <c r="C50" i="20" s="1"/>
  <c r="Y18" i="11"/>
  <c r="Y22" i="11" s="1"/>
  <c r="Y5" i="23"/>
  <c r="Y8" i="23" s="1"/>
  <c r="X18" i="11"/>
  <c r="X22" i="11" s="1"/>
  <c r="X5" i="23"/>
  <c r="X8" i="23" s="1"/>
  <c r="V18" i="11"/>
  <c r="V22" i="11" s="1"/>
  <c r="V5" i="23"/>
  <c r="V8" i="23" s="1"/>
  <c r="P18" i="11"/>
  <c r="P22" i="11" s="1"/>
  <c r="P24" i="11" s="1"/>
  <c r="P5" i="23"/>
  <c r="R18" i="11"/>
  <c r="R22" i="11" s="1"/>
  <c r="R5" i="23"/>
  <c r="R8" i="23" s="1"/>
  <c r="Q18" i="11"/>
  <c r="Q22" i="11" s="1"/>
  <c r="Q5" i="23"/>
  <c r="Q8" i="23" s="1"/>
  <c r="W18" i="11"/>
  <c r="W22" i="11" s="1"/>
  <c r="W5" i="23"/>
  <c r="W8" i="23" s="1"/>
  <c r="U18" i="11"/>
  <c r="U22" i="11" s="1"/>
  <c r="U5" i="23"/>
  <c r="U8" i="23" s="1"/>
  <c r="T18" i="11"/>
  <c r="T22" i="11" s="1"/>
  <c r="T5" i="23"/>
  <c r="T8" i="23" s="1"/>
  <c r="S18" i="11"/>
  <c r="S22" i="11" s="1"/>
  <c r="S5" i="23"/>
  <c r="S8" i="23" s="1"/>
  <c r="C27" i="19"/>
  <c r="C29" i="19" s="1"/>
  <c r="G28" i="19"/>
  <c r="G27" i="19" s="1"/>
  <c r="E28" i="19"/>
  <c r="E27" i="19" s="1"/>
  <c r="F28" i="19"/>
  <c r="F27" i="19" s="1"/>
  <c r="G58" i="1"/>
  <c r="E61" i="1"/>
  <c r="G60" i="1"/>
  <c r="G50" i="1"/>
  <c r="F56" i="1"/>
  <c r="G56" i="1" s="1"/>
  <c r="G54" i="1"/>
  <c r="G52" i="1"/>
  <c r="G61" i="1" s="1"/>
  <c r="D44" i="1"/>
  <c r="D12" i="5" s="1"/>
  <c r="D11" i="5"/>
  <c r="E44" i="1"/>
  <c r="E12" i="5" s="1"/>
  <c r="E11" i="5"/>
  <c r="I44" i="1"/>
  <c r="I12" i="5" s="1"/>
  <c r="I11" i="5"/>
  <c r="N10" i="5"/>
  <c r="F44" i="1"/>
  <c r="F12" i="5" s="1"/>
  <c r="F11" i="5"/>
  <c r="G44" i="1"/>
  <c r="G12" i="5" s="1"/>
  <c r="G11" i="5"/>
  <c r="K44" i="1"/>
  <c r="K12" i="5" s="1"/>
  <c r="K11" i="5"/>
  <c r="H44" i="1"/>
  <c r="H12" i="5" s="1"/>
  <c r="H11" i="5"/>
  <c r="L44" i="1"/>
  <c r="L12" i="5" s="1"/>
  <c r="L11" i="5"/>
  <c r="J44" i="1"/>
  <c r="J12" i="5" s="1"/>
  <c r="J11" i="5"/>
  <c r="C44" i="1"/>
  <c r="C12" i="5" s="1"/>
  <c r="C11" i="5"/>
  <c r="C25" i="20"/>
  <c r="C23" i="20" s="1"/>
  <c r="C27" i="20" s="1"/>
  <c r="C29" i="20" s="1"/>
  <c r="C32" i="20" s="1"/>
  <c r="C34" i="20" s="1"/>
  <c r="D22" i="19"/>
  <c r="D21" i="19" s="1"/>
  <c r="D29" i="19" s="1"/>
  <c r="M14" i="20"/>
  <c r="M16" i="20" s="1"/>
  <c r="M18" i="20" s="1"/>
  <c r="N13" i="20"/>
  <c r="N14" i="20" s="1"/>
  <c r="N16" i="20" s="1"/>
  <c r="C14" i="20"/>
  <c r="N43" i="1"/>
  <c r="F29" i="11" s="1"/>
  <c r="E40" i="20" s="1"/>
  <c r="F69" i="11"/>
  <c r="F74" i="11" s="1"/>
  <c r="G66" i="11" s="1"/>
  <c r="M13" i="19"/>
  <c r="C35" i="20" l="1"/>
  <c r="C36" i="20"/>
  <c r="Q24" i="11"/>
  <c r="R24" i="11" s="1"/>
  <c r="S24" i="11" s="1"/>
  <c r="T24" i="11" s="1"/>
  <c r="U24" i="11" s="1"/>
  <c r="V24" i="11" s="1"/>
  <c r="W24" i="11" s="1"/>
  <c r="X24" i="11" s="1"/>
  <c r="Y24" i="11" s="1"/>
  <c r="Z24" i="11" s="1"/>
  <c r="B13" i="23"/>
  <c r="B14" i="23" s="1"/>
  <c r="P8" i="23"/>
  <c r="D16" i="5"/>
  <c r="E23" i="19" s="1"/>
  <c r="E22" i="19" s="1"/>
  <c r="E21" i="19" s="1"/>
  <c r="E29" i="19" s="1"/>
  <c r="E32" i="11"/>
  <c r="E34" i="11" s="1"/>
  <c r="F61" i="1"/>
  <c r="N44" i="1"/>
  <c r="G29" i="11" s="1"/>
  <c r="F40" i="20" s="1"/>
  <c r="N11" i="5"/>
  <c r="N12" i="5"/>
  <c r="C16" i="20"/>
  <c r="M17" i="19"/>
  <c r="N17" i="19" s="1"/>
  <c r="N13" i="19"/>
  <c r="G69" i="11"/>
  <c r="G74" i="11" s="1"/>
  <c r="H66" i="11" s="1"/>
  <c r="D25" i="20" l="1"/>
  <c r="D23" i="20" s="1"/>
  <c r="D27" i="20" s="1"/>
  <c r="D29" i="20" s="1"/>
  <c r="D32" i="20" s="1"/>
  <c r="D34" i="20" s="1"/>
  <c r="D36" i="20" s="1"/>
  <c r="E16" i="5"/>
  <c r="F23" i="19" s="1"/>
  <c r="E25" i="20" s="1"/>
  <c r="E23" i="20" s="1"/>
  <c r="E27" i="20" s="1"/>
  <c r="E29" i="20" s="1"/>
  <c r="E32" i="20" s="1"/>
  <c r="E34" i="20" s="1"/>
  <c r="E36" i="20" s="1"/>
  <c r="F32" i="11"/>
  <c r="F34" i="11" s="1"/>
  <c r="E35" i="11"/>
  <c r="D41" i="20"/>
  <c r="D42" i="20" s="1"/>
  <c r="D46" i="20" s="1"/>
  <c r="D48" i="20" s="1"/>
  <c r="D50" i="20" s="1"/>
  <c r="F16" i="5"/>
  <c r="G23" i="19" s="1"/>
  <c r="F25" i="20" s="1"/>
  <c r="F23" i="20" s="1"/>
  <c r="F27" i="20" s="1"/>
  <c r="F29" i="20" s="1"/>
  <c r="F32" i="20" s="1"/>
  <c r="F34" i="20" s="1"/>
  <c r="F36" i="20" s="1"/>
  <c r="G32" i="11"/>
  <c r="G34" i="11" s="1"/>
  <c r="C17" i="20"/>
  <c r="C18" i="20"/>
  <c r="H69" i="11"/>
  <c r="H74" i="11" s="1"/>
  <c r="I66" i="11" s="1"/>
  <c r="D35" i="20" l="1"/>
  <c r="E35" i="20" s="1"/>
  <c r="F35" i="20" s="1"/>
  <c r="G35" i="20" s="1"/>
  <c r="H35" i="20" s="1"/>
  <c r="I35" i="20" s="1"/>
  <c r="J35" i="20" s="1"/>
  <c r="K35" i="20" s="1"/>
  <c r="L35" i="20" s="1"/>
  <c r="M35" i="20" s="1"/>
  <c r="G22" i="19"/>
  <c r="G21" i="19" s="1"/>
  <c r="G29" i="19" s="1"/>
  <c r="F35" i="11"/>
  <c r="F38" i="11" s="1"/>
  <c r="E41" i="20"/>
  <c r="E42" i="20" s="1"/>
  <c r="E46" i="20" s="1"/>
  <c r="E48" i="20" s="1"/>
  <c r="E50" i="20" s="1"/>
  <c r="F22" i="19"/>
  <c r="F21" i="19" s="1"/>
  <c r="F29" i="19" s="1"/>
  <c r="G35" i="11"/>
  <c r="G38" i="11" s="1"/>
  <c r="F41" i="20"/>
  <c r="F42" i="20" s="1"/>
  <c r="F46" i="20" s="1"/>
  <c r="F48" i="20" s="1"/>
  <c r="F50" i="20" s="1"/>
  <c r="E38" i="11"/>
  <c r="B48" i="11" s="1"/>
  <c r="D17" i="20"/>
  <c r="E17" i="20" s="1"/>
  <c r="F17" i="20" s="1"/>
  <c r="G17" i="20" s="1"/>
  <c r="H17" i="20" s="1"/>
  <c r="I17" i="20" s="1"/>
  <c r="J17" i="20" s="1"/>
  <c r="K17" i="20" s="1"/>
  <c r="L17" i="20" s="1"/>
  <c r="M17" i="20" s="1"/>
  <c r="N17" i="20" s="1"/>
  <c r="I69" i="11"/>
  <c r="I74" i="11" s="1"/>
  <c r="J66" i="11" s="1"/>
  <c r="B47" i="11" l="1"/>
  <c r="B45" i="11"/>
  <c r="B46" i="11"/>
  <c r="J69" i="11"/>
  <c r="J74" i="11" s="1"/>
  <c r="K66" i="11" s="1"/>
  <c r="K69" i="11" l="1"/>
  <c r="K74" i="11" s="1"/>
  <c r="L66" i="11" s="1"/>
  <c r="L69" i="11" l="1"/>
  <c r="L74" i="11" s="1"/>
  <c r="M66" i="11" s="1"/>
  <c r="M69" i="11" l="1"/>
  <c r="M74" i="11" s="1"/>
  <c r="N66" i="11" s="1"/>
  <c r="N69" i="11" s="1"/>
  <c r="N74" i="11" s="1"/>
  <c r="H4" i="14" l="1"/>
  <c r="H5" i="14"/>
  <c r="I5" i="14" s="1"/>
  <c r="H6" i="14"/>
  <c r="I6" i="14" s="1"/>
  <c r="B43" i="14"/>
  <c r="B31" i="14"/>
  <c r="B33" i="14" l="1"/>
  <c r="I4" i="14"/>
  <c r="I7" i="14" s="1"/>
  <c r="H7" i="14"/>
  <c r="B45" i="14"/>
  <c r="B21" i="14"/>
</calcChain>
</file>

<file path=xl/comments1.xml><?xml version="1.0" encoding="utf-8"?>
<comments xmlns="http://schemas.openxmlformats.org/spreadsheetml/2006/main">
  <authors>
    <author>DIANA</author>
  </authors>
  <commentList>
    <comment ref="A10" authorId="0" shapeId="0">
      <text>
        <r>
          <rPr>
            <b/>
            <sz val="9"/>
            <color indexed="81"/>
            <rFont val="Tahoma"/>
            <family val="2"/>
          </rPr>
          <t>DIANA:</t>
        </r>
        <r>
          <rPr>
            <sz val="9"/>
            <color indexed="81"/>
            <rFont val="Tahoma"/>
            <family val="2"/>
          </rPr>
          <t xml:space="preserve">
Alquiler para eventos, servicios de catering, recepciones.</t>
        </r>
      </text>
    </comment>
  </commentList>
</comments>
</file>

<file path=xl/comments2.xml><?xml version="1.0" encoding="utf-8"?>
<comments xmlns="http://schemas.openxmlformats.org/spreadsheetml/2006/main">
  <authors>
    <author>DIANA</author>
  </authors>
  <commentList>
    <comment ref="A18" authorId="0" shapeId="0">
      <text>
        <r>
          <rPr>
            <b/>
            <sz val="9"/>
            <color indexed="81"/>
            <rFont val="Tahoma"/>
            <family val="2"/>
          </rPr>
          <t>DIANA:</t>
        </r>
        <r>
          <rPr>
            <sz val="9"/>
            <color indexed="81"/>
            <rFont val="Tahoma"/>
            <family val="2"/>
          </rPr>
          <t xml:space="preserve">
Uti/Ventas x 100
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DIANA:</t>
        </r>
        <r>
          <rPr>
            <sz val="9"/>
            <color indexed="81"/>
            <rFont val="Tahoma"/>
            <family val="2"/>
          </rPr>
          <t xml:space="preserve">
Uti/Ventas x 100
</t>
        </r>
      </text>
    </comment>
  </commentList>
</comments>
</file>

<file path=xl/sharedStrings.xml><?xml version="1.0" encoding="utf-8"?>
<sst xmlns="http://schemas.openxmlformats.org/spreadsheetml/2006/main" count="799" uniqueCount="440">
  <si>
    <t>Concepto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</si>
  <si>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</si>
  <si>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</si>
  <si>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</si>
  <si>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</si>
  <si>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</si>
  <si>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</si>
  <si>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</si>
  <si>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</si>
  <si>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</si>
  <si>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>Mes 10</t>
  </si>
  <si>
    <t>Mes 11</t>
  </si>
  <si>
    <t>Mes 12</t>
  </si>
  <si>
    <t>Total Ventas</t>
  </si>
  <si>
    <t>Ventas/unid</t>
  </si>
  <si>
    <t>Precio/unid</t>
  </si>
  <si>
    <t>Ventas Totales</t>
  </si>
  <si>
    <t>Ingresos S/.</t>
  </si>
  <si>
    <t>Producción/Ventas</t>
  </si>
  <si>
    <t>Cantidad de materias primas o insumos</t>
  </si>
  <si>
    <t>Nº</t>
  </si>
  <si>
    <t>Designación</t>
  </si>
  <si>
    <t>Salario/mes</t>
  </si>
  <si>
    <t>Salario/año</t>
  </si>
  <si>
    <t>Costos de personal</t>
  </si>
  <si>
    <t>Requerimientos de personal</t>
  </si>
  <si>
    <t>Total</t>
  </si>
  <si>
    <t>Costo Total Materia Prima</t>
  </si>
  <si>
    <t>Agua</t>
  </si>
  <si>
    <t>Monto</t>
  </si>
  <si>
    <t>Electricidad</t>
  </si>
  <si>
    <t>Alquiler</t>
  </si>
  <si>
    <t>Interés</t>
  </si>
  <si>
    <t>Artículo de Inversión</t>
  </si>
  <si>
    <t>Valor</t>
  </si>
  <si>
    <t>Años de Uso</t>
  </si>
  <si>
    <t>Depreciación anual</t>
  </si>
  <si>
    <t>Depreciación mensual</t>
  </si>
  <si>
    <t>Depreciación total</t>
  </si>
  <si>
    <t>Otros</t>
  </si>
  <si>
    <t>Depreciación</t>
  </si>
  <si>
    <t>Descripción</t>
  </si>
  <si>
    <t>ESQUEMA FINANCIERO</t>
  </si>
  <si>
    <t>Capital personal</t>
  </si>
  <si>
    <t>Plan de Ventas y Costos</t>
  </si>
  <si>
    <t>INGRESOS</t>
  </si>
  <si>
    <t>COSTOS</t>
  </si>
  <si>
    <t>Costos Totales</t>
  </si>
  <si>
    <t>PLAN DE VENTAS Y COSTOS</t>
  </si>
  <si>
    <t>PLAN DE FLUJO DE CAJA</t>
  </si>
  <si>
    <t>Plan de flujo de caja</t>
  </si>
  <si>
    <t>Por mes (S/.)</t>
  </si>
  <si>
    <t>Efectivo a inicios de mes</t>
  </si>
  <si>
    <t>Ingreso por ventas</t>
  </si>
  <si>
    <t>Otros ingresos</t>
  </si>
  <si>
    <t>Ingreso Total</t>
  </si>
  <si>
    <t>Egreso costo operativo</t>
  </si>
  <si>
    <t>Egreso costo personal</t>
  </si>
  <si>
    <t>Otros egresos</t>
  </si>
  <si>
    <t>Egreso Total</t>
  </si>
  <si>
    <t>Efectivo a fines de mes</t>
  </si>
  <si>
    <t>Almuerzo</t>
  </si>
  <si>
    <t>Ayudante de cocina</t>
  </si>
  <si>
    <t>Vajillero</t>
  </si>
  <si>
    <t>Mozo</t>
  </si>
  <si>
    <t>Cena</t>
  </si>
  <si>
    <t>Internet</t>
  </si>
  <si>
    <t>Cable</t>
  </si>
  <si>
    <t>Teléfonos celulares</t>
  </si>
  <si>
    <t>INVERSIÓN</t>
  </si>
  <si>
    <t>Valor Unitario S/.</t>
  </si>
  <si>
    <t>Cantidad</t>
  </si>
  <si>
    <t>1. Activo Fijo</t>
  </si>
  <si>
    <t>2. Gastos Pre-Operativos</t>
  </si>
  <si>
    <t>3. Capital de Trabajo</t>
  </si>
  <si>
    <t>Infraestructura</t>
  </si>
  <si>
    <t>Materia Prima e Insumos</t>
  </si>
  <si>
    <t xml:space="preserve"> + Construcción del local</t>
  </si>
  <si>
    <t xml:space="preserve"> + Carnet Sanitarios</t>
  </si>
  <si>
    <t xml:space="preserve"> + Mámparas</t>
  </si>
  <si>
    <t>SUB TOTAL</t>
  </si>
  <si>
    <t>Gastos Administrativos</t>
  </si>
  <si>
    <t>Equipamiento</t>
  </si>
  <si>
    <t xml:space="preserve"> + Extintor, Botiquin</t>
  </si>
  <si>
    <t xml:space="preserve"> + Luces de seguridad</t>
  </si>
  <si>
    <t xml:space="preserve"> + Espejos</t>
  </si>
  <si>
    <t>Maquinaria y Equipo</t>
  </si>
  <si>
    <t xml:space="preserve"> + Cocina de 3 hornillas</t>
  </si>
  <si>
    <t xml:space="preserve"> + Campana</t>
  </si>
  <si>
    <t xml:space="preserve"> + Parrilla</t>
  </si>
  <si>
    <t xml:space="preserve"> + Horno a gas</t>
  </si>
  <si>
    <t xml:space="preserve"> + Licuadora </t>
  </si>
  <si>
    <t xml:space="preserve"> + Congelador</t>
  </si>
  <si>
    <t xml:space="preserve"> + Refrigerador</t>
  </si>
  <si>
    <t xml:space="preserve"> + Microondas</t>
  </si>
  <si>
    <t xml:space="preserve"> + Balanza Electrónica</t>
  </si>
  <si>
    <t>Muebles y Enseres</t>
  </si>
  <si>
    <t>De cocina</t>
  </si>
  <si>
    <t xml:space="preserve"> + Mesa de Trabajo forrado de acero</t>
  </si>
  <si>
    <t xml:space="preserve"> + Mesas auxiliares</t>
  </si>
  <si>
    <t xml:space="preserve"> + Estantería</t>
  </si>
  <si>
    <t xml:space="preserve"> + Pozo de lavado de platos</t>
  </si>
  <si>
    <t>De Servicio</t>
  </si>
  <si>
    <t xml:space="preserve"> + Juego de mesa y sillas</t>
  </si>
  <si>
    <t>Utensilios de Cocina</t>
  </si>
  <si>
    <t xml:space="preserve"> + Cucharones </t>
  </si>
  <si>
    <t xml:space="preserve"> + Espumadores</t>
  </si>
  <si>
    <t xml:space="preserve"> + Jarras de 3 Ltros.</t>
  </si>
  <si>
    <t xml:space="preserve"> + Recogedor</t>
  </si>
  <si>
    <t xml:space="preserve"> + Exprimidor</t>
  </si>
  <si>
    <t xml:space="preserve"> + Coladores</t>
  </si>
  <si>
    <t xml:space="preserve"> + Cuchillos</t>
  </si>
  <si>
    <t xml:space="preserve"> + Pelador de papas</t>
  </si>
  <si>
    <t xml:space="preserve"> + Batidora</t>
  </si>
  <si>
    <t xml:space="preserve"> + Ralladores</t>
  </si>
  <si>
    <t xml:space="preserve"> + Tabla para picar</t>
  </si>
  <si>
    <t xml:space="preserve"> + Espátulas</t>
  </si>
  <si>
    <t xml:space="preserve"> + Pinzas</t>
  </si>
  <si>
    <t xml:space="preserve"> + Jarra medidoras</t>
  </si>
  <si>
    <t xml:space="preserve"> + Recipientes pequeños</t>
  </si>
  <si>
    <t>Menaje para el servicio</t>
  </si>
  <si>
    <t xml:space="preserve"> + Plato base redonda</t>
  </si>
  <si>
    <t xml:space="preserve"> + Plato llano</t>
  </si>
  <si>
    <t xml:space="preserve"> + Plato cuadrado grande</t>
  </si>
  <si>
    <t xml:space="preserve"> + Plato cuadrado mediano</t>
  </si>
  <si>
    <t xml:space="preserve"> + Juego de tazas con platos</t>
  </si>
  <si>
    <t xml:space="preserve"> + Vaso pequeño</t>
  </si>
  <si>
    <t xml:space="preserve"> + Vaso largo</t>
  </si>
  <si>
    <t xml:space="preserve"> + Jarra de Cristal 1 1/2</t>
  </si>
  <si>
    <t xml:space="preserve"> + Pirex para postres</t>
  </si>
  <si>
    <t xml:space="preserve"> + Azafates</t>
  </si>
  <si>
    <t xml:space="preserve"> + Cuchara sopera</t>
  </si>
  <si>
    <t xml:space="preserve"> + Cucharita</t>
  </si>
  <si>
    <t xml:space="preserve"> + Tenedor</t>
  </si>
  <si>
    <t xml:space="preserve"> + Copas</t>
  </si>
  <si>
    <t xml:space="preserve"> + Salero</t>
  </si>
  <si>
    <t xml:space="preserve"> + Bandejas de cubiertos</t>
  </si>
  <si>
    <t xml:space="preserve"> + Azucarera</t>
  </si>
  <si>
    <t>Costo Total</t>
  </si>
  <si>
    <t xml:space="preserve"> + Escritorio Frontis</t>
  </si>
  <si>
    <t xml:space="preserve"> + Ventiladores</t>
  </si>
  <si>
    <t xml:space="preserve"> + Comprobante de pago</t>
  </si>
  <si>
    <t>Fuente</t>
  </si>
  <si>
    <t>Préstamo</t>
  </si>
  <si>
    <t>Valor %</t>
  </si>
  <si>
    <t>TEA</t>
  </si>
  <si>
    <t>TEM</t>
  </si>
  <si>
    <t>CRONOGRAMA DE PAGOS</t>
  </si>
  <si>
    <t>Cuota</t>
  </si>
  <si>
    <t>Mes</t>
  </si>
  <si>
    <t>Saldo</t>
  </si>
  <si>
    <t>Amortiz.</t>
  </si>
  <si>
    <t>DEPRECIACIÓN</t>
  </si>
  <si>
    <t>Maquinaria y equipos</t>
  </si>
  <si>
    <t>Muebles y enseres</t>
  </si>
  <si>
    <t>Utensilios de cocina</t>
  </si>
  <si>
    <t xml:space="preserve"> + De cocina</t>
  </si>
  <si>
    <t xml:space="preserve"> + De servicios</t>
  </si>
  <si>
    <t>Menú</t>
  </si>
  <si>
    <t>Extras</t>
  </si>
  <si>
    <t xml:space="preserve"> + Juego de Ollas RENAWERE</t>
  </si>
  <si>
    <t xml:space="preserve"> + Sartén de teflón</t>
  </si>
  <si>
    <t xml:space="preserve"> + Sartén de acero</t>
  </si>
  <si>
    <t xml:space="preserve"> + Sartén chifero de acero antiadherente</t>
  </si>
  <si>
    <t xml:space="preserve"> + Asadoras</t>
  </si>
  <si>
    <t xml:space="preserve"> + Platon</t>
  </si>
  <si>
    <t xml:space="preserve"> + Plato modelo pescado</t>
  </si>
  <si>
    <t xml:space="preserve"> + Juego de Baño y lavatorios</t>
  </si>
  <si>
    <t xml:space="preserve"> + Recipientes grandes y bowls</t>
  </si>
  <si>
    <t>Materias primas e insumos según las ventas</t>
  </si>
  <si>
    <t>Cocinero 1</t>
  </si>
  <si>
    <t>Cocinero 2</t>
  </si>
  <si>
    <t>Meses bajos</t>
  </si>
  <si>
    <t>Meses altos</t>
  </si>
  <si>
    <t>Escenario Bueno</t>
  </si>
  <si>
    <t>Escenario Moderado</t>
  </si>
  <si>
    <t>Escenario Bajo</t>
  </si>
  <si>
    <t>Meses moderados</t>
  </si>
  <si>
    <t>Arroz</t>
  </si>
  <si>
    <t>PERSONAL DE TRABAJO</t>
  </si>
  <si>
    <t>Horario</t>
  </si>
  <si>
    <t>SNP</t>
  </si>
  <si>
    <t>Aporte EsSalud</t>
  </si>
  <si>
    <t>Remuneración</t>
  </si>
  <si>
    <t>Sub-total</t>
  </si>
  <si>
    <t>Aporte Familiar</t>
  </si>
  <si>
    <t>Total a pagar mensual</t>
  </si>
  <si>
    <t>Neto a pagar</t>
  </si>
  <si>
    <t>TOTAL</t>
  </si>
  <si>
    <t>Costo total</t>
  </si>
  <si>
    <t>Equipos tomados prestados</t>
  </si>
  <si>
    <t xml:space="preserve"> + Estante de vidrios</t>
  </si>
  <si>
    <t>caja</t>
  </si>
  <si>
    <t>doc</t>
  </si>
  <si>
    <t>1/2 millar</t>
  </si>
  <si>
    <t xml:space="preserve"> + Fumigación</t>
  </si>
  <si>
    <t xml:space="preserve"> + Licencia por propaganda luminosa</t>
  </si>
  <si>
    <t xml:space="preserve"> + Licencia de funcionamiento y demás</t>
  </si>
  <si>
    <t xml:space="preserve"> + Gastos de inauguración</t>
  </si>
  <si>
    <t xml:space="preserve"> + Pequeños pirex para limón y rocoto</t>
  </si>
  <si>
    <t>Otros Costos</t>
  </si>
  <si>
    <t>Productos</t>
  </si>
  <si>
    <t>Ventas mensuales (Unid.)</t>
  </si>
  <si>
    <t>% Participacion</t>
  </si>
  <si>
    <t xml:space="preserve">Precio Venta </t>
  </si>
  <si>
    <t xml:space="preserve">Costo Variable Unitario    </t>
  </si>
  <si>
    <t>Margen Ponderado</t>
  </si>
  <si>
    <t>PUNTO DE EQUILIBRIO</t>
  </si>
  <si>
    <t>P.E. 
(Unid.)</t>
  </si>
  <si>
    <t>P.E. 
(S/.)</t>
  </si>
  <si>
    <t>Costos Fijos Totales</t>
  </si>
  <si>
    <t>Margen de contribución</t>
  </si>
  <si>
    <t>UNIDADES</t>
  </si>
  <si>
    <t>Punto de Equilibrio: Horario de almuerzo</t>
  </si>
  <si>
    <t>P.E. =</t>
  </si>
  <si>
    <t>Precio de venta unitario</t>
  </si>
  <si>
    <t>Costos variable unitario</t>
  </si>
  <si>
    <t>Punto de Equilibrio: Horario de cena</t>
  </si>
  <si>
    <t>Punto de Equilibrio: Extras</t>
  </si>
  <si>
    <t xml:space="preserve"> + Manteles</t>
  </si>
  <si>
    <t xml:space="preserve"> + Uniformes</t>
  </si>
  <si>
    <t xml:space="preserve"> + Platos de loza con división</t>
  </si>
  <si>
    <t xml:space="preserve"> + Fuente de loza con división</t>
  </si>
  <si>
    <t xml:space="preserve"> + Porta servilletas</t>
  </si>
  <si>
    <t xml:space="preserve"> + Porta mondadientes</t>
  </si>
  <si>
    <t xml:space="preserve"> + Mostrador de vidrio</t>
  </si>
  <si>
    <t xml:space="preserve"> + TV LCD pantalla plana</t>
  </si>
  <si>
    <t xml:space="preserve"> + Cocina industrial en isla</t>
  </si>
  <si>
    <t>Pollo</t>
  </si>
  <si>
    <t>presas</t>
  </si>
  <si>
    <t>P.Venta</t>
  </si>
  <si>
    <t>Mes 0</t>
  </si>
  <si>
    <t>Amortización</t>
  </si>
  <si>
    <t>Inversión en activo fijo + capital de trabajo</t>
  </si>
  <si>
    <t>MONTO</t>
  </si>
  <si>
    <t>PLAZO</t>
  </si>
  <si>
    <t>SEG DESG</t>
  </si>
  <si>
    <t>TEM SEG DES</t>
  </si>
  <si>
    <t>TEM TOTAL</t>
  </si>
  <si>
    <t>CUOTA</t>
  </si>
  <si>
    <t>Compromiso de pago</t>
  </si>
  <si>
    <t>Mano de Obra</t>
  </si>
  <si>
    <t>Inversión</t>
  </si>
  <si>
    <t>Costo total S/.</t>
  </si>
  <si>
    <t>Activo Fijo</t>
  </si>
  <si>
    <t>Gastos Pre-Operativos</t>
  </si>
  <si>
    <t>Materias primas e insumos</t>
  </si>
  <si>
    <t>Total de activos fijos</t>
  </si>
  <si>
    <t>Activos diferidos</t>
  </si>
  <si>
    <t>Total de activos diferidos</t>
  </si>
  <si>
    <t>Capital de trabajo</t>
  </si>
  <si>
    <t>Total de capital de trabajo</t>
  </si>
  <si>
    <t>Ventas Diarias</t>
  </si>
  <si>
    <t>Año 1</t>
  </si>
  <si>
    <t>Año 2</t>
  </si>
  <si>
    <t>Año 3</t>
  </si>
  <si>
    <t>Año 4</t>
  </si>
  <si>
    <t>Año 5</t>
  </si>
  <si>
    <t>Costos materia prima</t>
  </si>
  <si>
    <t>INGRESO POR VENTAS</t>
  </si>
  <si>
    <t>CONCEPTO</t>
  </si>
  <si>
    <t>COSTOS DE PRODUCCION</t>
  </si>
  <si>
    <t>Alquiler del local</t>
  </si>
  <si>
    <t>GASTOS DE OPERACIÓN</t>
  </si>
  <si>
    <t>Tarjetas</t>
  </si>
  <si>
    <t>Otros costos</t>
  </si>
  <si>
    <t>Materia Prima</t>
  </si>
  <si>
    <t>Mano de Obra Directa</t>
  </si>
  <si>
    <t>I. COSTOS DIRECTOS</t>
  </si>
  <si>
    <t>II. COSTOS INDIRECTOS</t>
  </si>
  <si>
    <t>Lapiceros</t>
  </si>
  <si>
    <t>Llaveros</t>
  </si>
  <si>
    <t>Polos</t>
  </si>
  <si>
    <t>Caja</t>
  </si>
  <si>
    <t>Mes 13</t>
  </si>
  <si>
    <t>Mes 14</t>
  </si>
  <si>
    <t>Mes 15</t>
  </si>
  <si>
    <t>Mes 16</t>
  </si>
  <si>
    <t>Mes 17</t>
  </si>
  <si>
    <t>Mes 18</t>
  </si>
  <si>
    <t>Mes 19</t>
  </si>
  <si>
    <t>Mes 20</t>
  </si>
  <si>
    <t>Mes 21</t>
  </si>
  <si>
    <t>Mes 22</t>
  </si>
  <si>
    <t>Mes 23</t>
  </si>
  <si>
    <t>Mes 24</t>
  </si>
  <si>
    <t>Costos Indirectos</t>
  </si>
  <si>
    <t>Administración</t>
  </si>
  <si>
    <t>Gastos Financieros</t>
  </si>
  <si>
    <t>Depreciación equipo</t>
  </si>
  <si>
    <t>UTILIDAD NETA</t>
  </si>
  <si>
    <t>Costo de Materia Prima</t>
  </si>
  <si>
    <t>I. VENTAS NETAS</t>
  </si>
  <si>
    <t>II. COSTOS DE VENTAS</t>
  </si>
  <si>
    <t>III. UTILIDAD BRUTA</t>
  </si>
  <si>
    <t>IV. UTILIDAD DE OPERACIÓN</t>
  </si>
  <si>
    <t>V. UTILIDAD ANTES DE IMPUESTOS</t>
  </si>
  <si>
    <t>I. GASTOS ADMINISTRACION</t>
  </si>
  <si>
    <t>II. GASTOS DE VENTAS</t>
  </si>
  <si>
    <t xml:space="preserve"> + Costo de materias primas</t>
  </si>
  <si>
    <t xml:space="preserve"> + Sueldos </t>
  </si>
  <si>
    <t>Interes</t>
  </si>
  <si>
    <t>Pago a SUNAT</t>
  </si>
  <si>
    <t xml:space="preserve">RENTABILIDAD DE VENTAS </t>
  </si>
  <si>
    <t>COK</t>
  </si>
  <si>
    <t>Intereses</t>
  </si>
  <si>
    <t>Aporte propio</t>
  </si>
  <si>
    <t>Saldo acumulado</t>
  </si>
  <si>
    <t>TIRF</t>
  </si>
  <si>
    <t>VANF</t>
  </si>
  <si>
    <t>Gastos de promoción</t>
  </si>
  <si>
    <t xml:space="preserve"> + Tarjetas</t>
  </si>
  <si>
    <t xml:space="preserve"> + Lapiceros</t>
  </si>
  <si>
    <t xml:space="preserve"> + Llaveros</t>
  </si>
  <si>
    <t xml:space="preserve"> + Polos</t>
  </si>
  <si>
    <t xml:space="preserve"> + Otros</t>
  </si>
  <si>
    <t xml:space="preserve">Mano de Obra </t>
  </si>
  <si>
    <t>Subtotal</t>
  </si>
  <si>
    <t xml:space="preserve">Gasto de promoción </t>
  </si>
  <si>
    <t>Ventas Unid. (A+C+E) =</t>
  </si>
  <si>
    <t>Ventas Totales S/.</t>
  </si>
  <si>
    <t>Costos Unitarios Prom.</t>
  </si>
  <si>
    <t>Plan de Egresos</t>
  </si>
  <si>
    <t>Estado de Resultados</t>
  </si>
  <si>
    <t>Costos fijos</t>
  </si>
  <si>
    <t>TOTAL EGRESOS</t>
  </si>
  <si>
    <t>Flujo Económico</t>
  </si>
  <si>
    <t>Flujo Financiero</t>
  </si>
  <si>
    <t>AÑO 1</t>
  </si>
  <si>
    <t>Monto Mensual</t>
  </si>
  <si>
    <t>Año1</t>
  </si>
  <si>
    <t>Año2</t>
  </si>
  <si>
    <t>Año3</t>
  </si>
  <si>
    <t>Año4</t>
  </si>
  <si>
    <t>Año5</t>
  </si>
  <si>
    <t xml:space="preserve">Inflación </t>
  </si>
  <si>
    <t>Costos Total Materia Prima</t>
  </si>
  <si>
    <t>Mensual</t>
  </si>
  <si>
    <t>Egresos por materia prima</t>
  </si>
  <si>
    <t>( + ) VENTAS</t>
  </si>
  <si>
    <t>( = ) UTILIDAD BRUTA</t>
  </si>
  <si>
    <t>( = ) UTILIDAD ANTES DE IMPUESTOS</t>
  </si>
  <si>
    <t xml:space="preserve">( - ) IMPUESTOS </t>
  </si>
  <si>
    <t>Costos Fijos</t>
  </si>
  <si>
    <t>II. COSTOS DE VENTAS ( - )</t>
  </si>
  <si>
    <t>I. VENTAS NETAS ( + )</t>
  </si>
  <si>
    <t>III. UTILIDAD BRUTA ( = )</t>
  </si>
  <si>
    <t>Costos Administrativos</t>
  </si>
  <si>
    <t>( - ) COSTOS DE VENTAS</t>
  </si>
  <si>
    <t>Gasto de Ventas</t>
  </si>
  <si>
    <t>Gasto de Administración</t>
  </si>
  <si>
    <t>GASTOS OPERACIONALES</t>
  </si>
  <si>
    <t>UTILIDAD OPERATIVA</t>
  </si>
  <si>
    <t>( - ) Otros Egresos</t>
  </si>
  <si>
    <t>( =  ) UTILIDAD NETA DEL EJERCICIO</t>
  </si>
  <si>
    <t>AÑO 2</t>
  </si>
  <si>
    <t>AÑO 3</t>
  </si>
  <si>
    <t>AÑO 4</t>
  </si>
  <si>
    <t>AÑO 5</t>
  </si>
  <si>
    <t>TOTAL ANUAL</t>
  </si>
  <si>
    <t>Acumulado</t>
  </si>
  <si>
    <t>% de Crecimiento</t>
  </si>
  <si>
    <t>AÑOS</t>
  </si>
  <si>
    <t>Requerimientos de personal AÑO 1</t>
  </si>
  <si>
    <t>Mes 25</t>
  </si>
  <si>
    <t>Mes 26</t>
  </si>
  <si>
    <t>Mes 27</t>
  </si>
  <si>
    <t>Mes 28</t>
  </si>
  <si>
    <t>Mes 29</t>
  </si>
  <si>
    <t>Mes 30</t>
  </si>
  <si>
    <t>Mes 31</t>
  </si>
  <si>
    <t>Mes 32</t>
  </si>
  <si>
    <t>Mes 33</t>
  </si>
  <si>
    <t>Mes 34</t>
  </si>
  <si>
    <t>Mes 35</t>
  </si>
  <si>
    <t>Mes 36</t>
  </si>
  <si>
    <t>Porcentaje de crecimiento</t>
  </si>
  <si>
    <t>Acum.</t>
  </si>
  <si>
    <t>Periodo</t>
  </si>
  <si>
    <t>PROYECCIÓN DE VENTAS</t>
  </si>
  <si>
    <t>Ventas en Unidades</t>
  </si>
  <si>
    <t>I - E =</t>
  </si>
  <si>
    <t>Aporte Propio</t>
  </si>
  <si>
    <t>Año 0</t>
  </si>
  <si>
    <t>Costos de materia prima</t>
  </si>
  <si>
    <t>Costo de personal</t>
  </si>
  <si>
    <t>VANE</t>
  </si>
  <si>
    <t>TIRE</t>
  </si>
  <si>
    <t>MESES</t>
  </si>
  <si>
    <t>Ingresos Actualizados</t>
  </si>
  <si>
    <t>Costos Actualizados</t>
  </si>
  <si>
    <t>Factor</t>
  </si>
  <si>
    <t>VNA Beneficios</t>
  </si>
  <si>
    <t>VNA Costos</t>
  </si>
  <si>
    <t>B/C</t>
  </si>
  <si>
    <t>Tasa de Dscto.</t>
  </si>
  <si>
    <t>MATERIA PRIMA E INSUMOS</t>
  </si>
  <si>
    <t>PLAN DE EGRESOS</t>
  </si>
  <si>
    <t>OTROS COSTOS</t>
  </si>
  <si>
    <t>ESTADO DE RESULTADOS</t>
  </si>
  <si>
    <t>ALMACEN</t>
  </si>
  <si>
    <t>SS.HH.</t>
  </si>
  <si>
    <t>COCINA</t>
  </si>
  <si>
    <t>CROQUIS</t>
  </si>
  <si>
    <t>3D Restaurante Dancardia</t>
  </si>
  <si>
    <t>Costo Materia Prima</t>
  </si>
  <si>
    <t xml:space="preserve">Costo de Personal </t>
  </si>
  <si>
    <t>Punto de Equilibrio</t>
  </si>
  <si>
    <t>Presupuesto de Inversiones</t>
  </si>
  <si>
    <t>Inversión Inicial</t>
  </si>
  <si>
    <t>PRESTAMO IFI</t>
  </si>
  <si>
    <t>Esquema Financiero</t>
  </si>
  <si>
    <t>Financiamiento</t>
  </si>
  <si>
    <t>Cronograma de pagos</t>
  </si>
  <si>
    <t>Proyección de ventas</t>
  </si>
  <si>
    <t>Proyección de ventas anuales en S/.</t>
  </si>
  <si>
    <t>Proyección de ventas mensuales</t>
  </si>
  <si>
    <t>Proyección de ventas para 5 años</t>
  </si>
  <si>
    <t>Costos</t>
  </si>
  <si>
    <t>Estados Financieros</t>
  </si>
  <si>
    <t>Evaluación del proyecto</t>
  </si>
  <si>
    <t>VAN y TIR</t>
  </si>
  <si>
    <t>Relación Costo-Beneficio</t>
  </si>
  <si>
    <t>TABLA DE CONTENIDO</t>
  </si>
  <si>
    <t>Proyección de ventas anuales detallada en S/.</t>
  </si>
  <si>
    <t>Plan de Flujo de Efectivo Anual</t>
  </si>
  <si>
    <t>Plan de flujo de efectivo</t>
  </si>
  <si>
    <t>VAN Y TIR</t>
  </si>
  <si>
    <t>I.</t>
  </si>
  <si>
    <t>II.</t>
  </si>
  <si>
    <t>III.</t>
  </si>
  <si>
    <t>IV.</t>
  </si>
  <si>
    <t>V.</t>
  </si>
  <si>
    <t>VI.</t>
  </si>
  <si>
    <t>VII.</t>
  </si>
  <si>
    <t>VIII.</t>
  </si>
  <si>
    <t>PERIODOS</t>
  </si>
  <si>
    <t>RELACIÓN BENEFICIO - COSTO</t>
  </si>
  <si>
    <t>DEPRECIACION %</t>
  </si>
  <si>
    <t>Valor residual ( S/.)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</si>
</sst>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&quot;S/.&quot;\ #,##0.00;[Red]&quot;S/.&quot;\ \-#,##0.00"/>
    <numFmt numFmtId="165" formatCode="_ &quot;S/.&quot;\ * #,##0.00_ ;_ &quot;S/.&quot;\ * \-#,##0.00_ ;_ &quot;S/.&quot;\ * &quot;-&quot;??_ ;_ @_ "/>
    <numFmt numFmtId="166" formatCode="_ * #,##0.00_ ;_ * \-#,##0.00_ ;_ * &quot;-&quot;??_ ;_ @_ "/>
    <numFmt numFmtId="167" formatCode="_-* #,##0.00\ _€_-;\-* #,##0.00\ _€_-;_-* &quot;-&quot;??\ _€_-;_-@_-"/>
    <numFmt numFmtId="168" formatCode="_-* #,##0\ _€_-;\-* #,##0\ _€_-;_-* &quot;-&quot;??\ _€_-;_-@_-"/>
    <numFmt numFmtId="169" formatCode="0.0%"/>
    <numFmt numFmtId="170" formatCode="0.0"/>
    <numFmt numFmtId="171" formatCode="0.000"/>
    <numFmt numFmtId="172" formatCode="&quot;S/.&quot;\ #,##0.00"/>
    <numFmt numFmtId="173" formatCode="_-* #,##0.00\ &quot;€&quot;_-;\-* #,##0.00\ &quot;€&quot;_-;_-* &quot;-&quot;??\ &quot;€&quot;_-;_-@_-"/>
    <numFmt numFmtId="174" formatCode="_ [$S/.-280A]\ * #,##0.00_ ;_ [$S/.-280A]\ * \-#,##0.00_ ;_ [$S/.-280A]\ * &quot;-&quot;??_ ;_ @_ "/>
    <numFmt numFmtId="175" formatCode="_-[$S/.-280A]* #,##0.00_-;\-[$S/.-280A]* #,##0.00_-;_-[$S/.-280A]* &quot;-&quot;??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sz val="9"/>
      <color theme="0"/>
      <name val="Arial"/>
      <family val="2"/>
    </font>
    <font>
      <b/>
      <sz val="8"/>
      <color theme="0"/>
      <name val="Arial"/>
      <family val="2"/>
    </font>
    <font>
      <b/>
      <u/>
      <sz val="10"/>
      <color theme="1"/>
      <name val="Arial"/>
      <family val="2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1"/>
      <color theme="0"/>
      <name val="Times New Roman"/>
      <family val="1"/>
    </font>
    <font>
      <i/>
      <sz val="9"/>
      <color theme="1"/>
      <name val="Arial"/>
      <family val="2"/>
    </font>
    <font>
      <b/>
      <i/>
      <sz val="9"/>
      <color theme="0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u/>
      <sz val="9"/>
      <name val="Arial"/>
      <family val="2"/>
    </font>
    <font>
      <b/>
      <sz val="14"/>
      <color theme="1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5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9"/>
      <color indexed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21E0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C5D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/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7" fillId="13" borderId="0" applyNumberFormat="0" applyBorder="0" applyAlignment="0" applyProtection="0"/>
    <xf numFmtId="0" fontId="3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9" fillId="17" borderId="0" applyNumberFormat="0" applyBorder="0" applyAlignment="0" applyProtection="0"/>
    <xf numFmtId="0" fontId="41" fillId="0" borderId="0" applyNumberFormat="0" applyFill="0" applyBorder="0" applyAlignment="0" applyProtection="0"/>
  </cellStyleXfs>
  <cellXfs count="550">
    <xf numFmtId="0" fontId="0" fillId="0" borderId="0" xfId="0"/>
    <xf numFmtId="0" fontId="2" fillId="0" borderId="0" xfId="0" applyFont="1"/>
    <xf numFmtId="168" fontId="3" fillId="0" borderId="1" xfId="1" applyNumberFormat="1" applyFont="1" applyBorder="1"/>
    <xf numFmtId="0" fontId="2" fillId="0" borderId="1" xfId="0" applyFont="1" applyBorder="1"/>
    <xf numFmtId="168" fontId="6" fillId="0" borderId="1" xfId="1" applyNumberFormat="1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7" fillId="0" borderId="1" xfId="0" applyFont="1" applyBorder="1"/>
    <xf numFmtId="0" fontId="5" fillId="0" borderId="0" xfId="0" applyFont="1"/>
    <xf numFmtId="0" fontId="7" fillId="0" borderId="0" xfId="0" applyFont="1"/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67" fontId="3" fillId="0" borderId="1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/>
    </xf>
    <xf numFmtId="168" fontId="2" fillId="0" borderId="1" xfId="1" applyNumberFormat="1" applyFont="1" applyBorder="1" applyAlignment="1">
      <alignment vertical="center"/>
    </xf>
    <xf numFmtId="168" fontId="2" fillId="0" borderId="1" xfId="1" applyNumberFormat="1" applyFont="1" applyBorder="1"/>
    <xf numFmtId="167" fontId="2" fillId="0" borderId="1" xfId="1" applyNumberFormat="1" applyFont="1" applyBorder="1" applyAlignment="1">
      <alignment vertical="center"/>
    </xf>
    <xf numFmtId="168" fontId="7" fillId="0" borderId="1" xfId="1" applyNumberFormat="1" applyFont="1" applyBorder="1" applyAlignment="1">
      <alignment horizontal="center" vertical="center"/>
    </xf>
    <xf numFmtId="167" fontId="7" fillId="0" borderId="1" xfId="1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5" fillId="0" borderId="10" xfId="0" applyFont="1" applyBorder="1"/>
    <xf numFmtId="0" fontId="0" fillId="0" borderId="10" xfId="0" applyBorder="1"/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0" fillId="0" borderId="10" xfId="0" applyFill="1" applyBorder="1"/>
    <xf numFmtId="0" fontId="2" fillId="0" borderId="10" xfId="0" applyFont="1" applyBorder="1"/>
    <xf numFmtId="0" fontId="9" fillId="2" borderId="10" xfId="0" applyFont="1" applyFill="1" applyBorder="1" applyAlignment="1">
      <alignment horizontal="center" vertical="center" wrapText="1"/>
    </xf>
    <xf numFmtId="0" fontId="7" fillId="0" borderId="10" xfId="0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Font="1"/>
    <xf numFmtId="0" fontId="0" fillId="0" borderId="10" xfId="0" applyFont="1" applyBorder="1"/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14" xfId="0" applyFont="1" applyBorder="1" applyAlignment="1">
      <alignment horizontal="left" indent="2"/>
    </xf>
    <xf numFmtId="0" fontId="0" fillId="0" borderId="15" xfId="0" applyBorder="1"/>
    <xf numFmtId="168" fontId="3" fillId="0" borderId="1" xfId="1" applyNumberFormat="1" applyFont="1" applyFill="1" applyBorder="1"/>
    <xf numFmtId="0" fontId="2" fillId="0" borderId="0" xfId="0" applyFont="1" applyAlignment="1">
      <alignment vertical="center"/>
    </xf>
    <xf numFmtId="2" fontId="2" fillId="0" borderId="1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" fillId="0" borderId="2" xfId="0" applyFont="1" applyBorder="1"/>
    <xf numFmtId="0" fontId="16" fillId="2" borderId="9" xfId="0" applyFont="1" applyFill="1" applyBorder="1" applyAlignment="1">
      <alignment horizontal="center" vertical="center"/>
    </xf>
    <xf numFmtId="167" fontId="3" fillId="0" borderId="1" xfId="1" applyNumberFormat="1" applyFont="1" applyBorder="1"/>
    <xf numFmtId="0" fontId="2" fillId="0" borderId="0" xfId="0" applyFont="1" applyFill="1" applyBorder="1"/>
    <xf numFmtId="0" fontId="3" fillId="0" borderId="1" xfId="0" applyFont="1" applyBorder="1"/>
    <xf numFmtId="0" fontId="17" fillId="2" borderId="1" xfId="0" applyFont="1" applyFill="1" applyBorder="1" applyAlignment="1">
      <alignment horizontal="center" vertical="center" wrapText="1"/>
    </xf>
    <xf numFmtId="168" fontId="10" fillId="2" borderId="1" xfId="0" applyNumberFormat="1" applyFont="1" applyFill="1" applyBorder="1" applyAlignment="1">
      <alignment vertical="center"/>
    </xf>
    <xf numFmtId="168" fontId="2" fillId="0" borderId="0" xfId="0" applyNumberFormat="1" applyFont="1"/>
    <xf numFmtId="0" fontId="2" fillId="0" borderId="0" xfId="0" applyFont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9" fontId="2" fillId="0" borderId="1" xfId="0" applyNumberFormat="1" applyFont="1" applyBorder="1" applyAlignment="1">
      <alignment horizontal="center" vertical="center"/>
    </xf>
    <xf numFmtId="0" fontId="2" fillId="0" borderId="0" xfId="0" applyFont="1" applyBorder="1"/>
    <xf numFmtId="0" fontId="2" fillId="0" borderId="3" xfId="0" applyFont="1" applyBorder="1"/>
    <xf numFmtId="0" fontId="2" fillId="0" borderId="4" xfId="0" applyFont="1" applyBorder="1"/>
    <xf numFmtId="167" fontId="6" fillId="0" borderId="1" xfId="1" applyNumberFormat="1" applyFont="1" applyBorder="1" applyAlignment="1">
      <alignment vertical="center"/>
    </xf>
    <xf numFmtId="167" fontId="7" fillId="0" borderId="1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0" fillId="0" borderId="0" xfId="0" applyBorder="1"/>
    <xf numFmtId="0" fontId="2" fillId="0" borderId="0" xfId="0" applyFont="1" applyFill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4" fillId="0" borderId="1" xfId="0" applyFont="1" applyBorder="1" applyAlignment="1">
      <alignment horizontal="left" indent="2"/>
    </xf>
    <xf numFmtId="0" fontId="19" fillId="0" borderId="0" xfId="0" applyFont="1"/>
    <xf numFmtId="168" fontId="5" fillId="0" borderId="10" xfId="0" applyNumberFormat="1" applyFont="1" applyBorder="1"/>
    <xf numFmtId="0" fontId="8" fillId="2" borderId="1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0" xfId="0" applyFill="1" applyBorder="1"/>
    <xf numFmtId="168" fontId="0" fillId="0" borderId="0" xfId="0" applyNumberFormat="1" applyBorder="1"/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8" xfId="0" applyFont="1" applyFill="1" applyBorder="1" applyAlignment="1">
      <alignment horizontal="center" vertical="center"/>
    </xf>
    <xf numFmtId="9" fontId="5" fillId="0" borderId="1" xfId="2" applyFont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1" fontId="5" fillId="0" borderId="0" xfId="0" applyNumberFormat="1" applyFont="1"/>
    <xf numFmtId="3" fontId="5" fillId="0" borderId="1" xfId="0" applyNumberFormat="1" applyFont="1" applyBorder="1" applyAlignment="1">
      <alignment horizontal="center"/>
    </xf>
    <xf numFmtId="169" fontId="0" fillId="0" borderId="1" xfId="2" applyNumberFormat="1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170" fontId="0" fillId="0" borderId="1" xfId="0" applyNumberFormat="1" applyFont="1" applyBorder="1" applyAlignment="1">
      <alignment horizontal="center"/>
    </xf>
    <xf numFmtId="1" fontId="0" fillId="0" borderId="0" xfId="0" applyNumberFormat="1" applyFont="1"/>
    <xf numFmtId="3" fontId="0" fillId="0" borderId="1" xfId="0" applyNumberFormat="1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0" fontId="0" fillId="0" borderId="2" xfId="0" applyFont="1" applyBorder="1"/>
    <xf numFmtId="2" fontId="0" fillId="0" borderId="4" xfId="0" applyNumberFormat="1" applyFont="1" applyBorder="1" applyAlignment="1">
      <alignment horizontal="center"/>
    </xf>
    <xf numFmtId="0" fontId="0" fillId="0" borderId="6" xfId="0" applyFont="1" applyBorder="1"/>
    <xf numFmtId="0" fontId="12" fillId="2" borderId="1" xfId="0" applyFont="1" applyFill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0" fontId="0" fillId="0" borderId="0" xfId="0" applyFont="1" applyFill="1" applyBorder="1"/>
    <xf numFmtId="2" fontId="5" fillId="0" borderId="1" xfId="0" applyNumberFormat="1" applyFont="1" applyFill="1" applyBorder="1" applyAlignment="1">
      <alignment horizontal="center"/>
    </xf>
    <xf numFmtId="4" fontId="5" fillId="0" borderId="1" xfId="0" applyNumberFormat="1" applyFont="1" applyBorder="1"/>
    <xf numFmtId="2" fontId="0" fillId="0" borderId="0" xfId="0" applyNumberFormat="1"/>
    <xf numFmtId="0" fontId="0" fillId="0" borderId="0" xfId="0" applyAlignment="1">
      <alignment horizontal="center"/>
    </xf>
    <xf numFmtId="167" fontId="1" fillId="0" borderId="1" xfId="1" applyFont="1" applyBorder="1"/>
    <xf numFmtId="2" fontId="19" fillId="2" borderId="2" xfId="0" applyNumberFormat="1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20" fillId="0" borderId="0" xfId="0" applyFont="1"/>
    <xf numFmtId="0" fontId="21" fillId="0" borderId="0" xfId="0" applyFont="1"/>
    <xf numFmtId="0" fontId="0" fillId="0" borderId="0" xfId="0" applyAlignment="1">
      <alignment horizontal="right"/>
    </xf>
    <xf numFmtId="4" fontId="0" fillId="0" borderId="10" xfId="0" applyNumberFormat="1" applyBorder="1"/>
    <xf numFmtId="4" fontId="0" fillId="0" borderId="10" xfId="0" applyNumberFormat="1" applyBorder="1" applyAlignment="1">
      <alignment vertical="center"/>
    </xf>
    <xf numFmtId="168" fontId="5" fillId="0" borderId="0" xfId="0" applyNumberFormat="1" applyFont="1" applyBorder="1"/>
    <xf numFmtId="0" fontId="0" fillId="0" borderId="0" xfId="0" applyAlignment="1">
      <alignment vertical="center"/>
    </xf>
    <xf numFmtId="4" fontId="0" fillId="0" borderId="14" xfId="0" applyNumberFormat="1" applyBorder="1"/>
    <xf numFmtId="168" fontId="5" fillId="0" borderId="14" xfId="0" applyNumberFormat="1" applyFont="1" applyBorder="1"/>
    <xf numFmtId="4" fontId="0" fillId="0" borderId="22" xfId="0" applyNumberFormat="1" applyBorder="1"/>
    <xf numFmtId="0" fontId="0" fillId="0" borderId="23" xfId="0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4" fontId="0" fillId="0" borderId="26" xfId="0" applyNumberFormat="1" applyBorder="1"/>
    <xf numFmtId="0" fontId="0" fillId="0" borderId="26" xfId="0" applyBorder="1" applyAlignment="1">
      <alignment horizontal="center" vertical="center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5" fillId="0" borderId="30" xfId="0" applyFont="1" applyBorder="1"/>
    <xf numFmtId="4" fontId="0" fillId="0" borderId="23" xfId="0" applyNumberFormat="1" applyBorder="1"/>
    <xf numFmtId="0" fontId="22" fillId="0" borderId="1" xfId="0" applyFont="1" applyBorder="1"/>
    <xf numFmtId="0" fontId="7" fillId="0" borderId="0" xfId="0" applyFont="1" applyAlignment="1">
      <alignment horizontal="center" vertical="center"/>
    </xf>
    <xf numFmtId="0" fontId="0" fillId="0" borderId="0" xfId="0" applyFill="1"/>
    <xf numFmtId="0" fontId="19" fillId="0" borderId="0" xfId="0" applyFont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31" xfId="0" applyFont="1" applyBorder="1"/>
    <xf numFmtId="165" fontId="2" fillId="0" borderId="21" xfId="0" applyNumberFormat="1" applyFont="1" applyBorder="1"/>
    <xf numFmtId="0" fontId="2" fillId="0" borderId="32" xfId="0" applyFont="1" applyBorder="1" applyAlignment="1">
      <alignment horizontal="center"/>
    </xf>
    <xf numFmtId="2" fontId="2" fillId="0" borderId="0" xfId="0" applyNumberFormat="1" applyFont="1" applyBorder="1"/>
    <xf numFmtId="2" fontId="2" fillId="0" borderId="33" xfId="0" applyNumberFormat="1" applyFont="1" applyBorder="1"/>
    <xf numFmtId="0" fontId="2" fillId="0" borderId="3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2" fontId="2" fillId="0" borderId="19" xfId="0" applyNumberFormat="1" applyFont="1" applyBorder="1"/>
    <xf numFmtId="2" fontId="2" fillId="0" borderId="20" xfId="0" applyNumberFormat="1" applyFont="1" applyBorder="1"/>
    <xf numFmtId="0" fontId="2" fillId="0" borderId="7" xfId="0" applyFont="1" applyBorder="1"/>
    <xf numFmtId="2" fontId="2" fillId="0" borderId="8" xfId="0" applyNumberFormat="1" applyFont="1" applyBorder="1"/>
    <xf numFmtId="2" fontId="2" fillId="0" borderId="9" xfId="0" applyNumberFormat="1" applyFont="1" applyBorder="1"/>
    <xf numFmtId="9" fontId="2" fillId="0" borderId="10" xfId="2" applyFont="1" applyBorder="1"/>
    <xf numFmtId="0" fontId="5" fillId="0" borderId="2" xfId="0" applyFont="1" applyFill="1" applyBorder="1"/>
    <xf numFmtId="9" fontId="2" fillId="0" borderId="0" xfId="0" applyNumberFormat="1" applyFont="1"/>
    <xf numFmtId="0" fontId="12" fillId="0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168" fontId="3" fillId="0" borderId="7" xfId="1" applyNumberFormat="1" applyFont="1" applyBorder="1"/>
    <xf numFmtId="168" fontId="3" fillId="0" borderId="8" xfId="1" applyNumberFormat="1" applyFont="1" applyBorder="1"/>
    <xf numFmtId="0" fontId="8" fillId="2" borderId="14" xfId="0" applyFont="1" applyFill="1" applyBorder="1" applyAlignment="1">
      <alignment horizontal="center" vertical="center"/>
    </xf>
    <xf numFmtId="0" fontId="8" fillId="2" borderId="39" xfId="0" applyFont="1" applyFill="1" applyBorder="1" applyAlignment="1">
      <alignment horizontal="center" vertical="center" wrapText="1"/>
    </xf>
    <xf numFmtId="0" fontId="3" fillId="0" borderId="16" xfId="0" applyFont="1" applyBorder="1"/>
    <xf numFmtId="0" fontId="3" fillId="0" borderId="35" xfId="0" applyFont="1" applyBorder="1"/>
    <xf numFmtId="0" fontId="3" fillId="0" borderId="40" xfId="0" applyFont="1" applyBorder="1"/>
    <xf numFmtId="168" fontId="3" fillId="0" borderId="1" xfId="0" applyNumberFormat="1" applyFont="1" applyBorder="1"/>
    <xf numFmtId="0" fontId="3" fillId="0" borderId="5" xfId="0" applyFont="1" applyBorder="1"/>
    <xf numFmtId="0" fontId="3" fillId="0" borderId="36" xfId="0" applyFont="1" applyFill="1" applyBorder="1" applyAlignment="1">
      <alignment horizontal="center" vertical="center"/>
    </xf>
    <xf numFmtId="168" fontId="24" fillId="0" borderId="1" xfId="0" applyNumberFormat="1" applyFont="1" applyBorder="1" applyAlignment="1"/>
    <xf numFmtId="0" fontId="6" fillId="0" borderId="1" xfId="0" applyFont="1" applyBorder="1"/>
    <xf numFmtId="0" fontId="3" fillId="0" borderId="1" xfId="0" applyFont="1" applyBorder="1" applyAlignment="1">
      <alignment horizontal="center"/>
    </xf>
    <xf numFmtId="0" fontId="6" fillId="0" borderId="2" xfId="0" applyFont="1" applyBorder="1" applyAlignment="1">
      <alignment vertical="center"/>
    </xf>
    <xf numFmtId="2" fontId="6" fillId="0" borderId="4" xfId="0" applyNumberFormat="1" applyFont="1" applyBorder="1" applyAlignment="1">
      <alignment vertical="center"/>
    </xf>
    <xf numFmtId="168" fontId="24" fillId="0" borderId="1" xfId="0" applyNumberFormat="1" applyFont="1" applyBorder="1"/>
    <xf numFmtId="0" fontId="10" fillId="2" borderId="6" xfId="0" applyFont="1" applyFill="1" applyBorder="1" applyAlignment="1">
      <alignment horizontal="center" vertical="center"/>
    </xf>
    <xf numFmtId="168" fontId="25" fillId="2" borderId="1" xfId="0" applyNumberFormat="1" applyFont="1" applyFill="1" applyBorder="1" applyAlignment="1"/>
    <xf numFmtId="168" fontId="3" fillId="0" borderId="2" xfId="1" applyNumberFormat="1" applyFont="1" applyBorder="1" applyAlignment="1">
      <alignment horizontal="center"/>
    </xf>
    <xf numFmtId="0" fontId="8" fillId="2" borderId="7" xfId="0" applyFont="1" applyFill="1" applyBorder="1" applyAlignment="1">
      <alignment horizontal="center" vertical="center" wrapText="1"/>
    </xf>
    <xf numFmtId="168" fontId="10" fillId="2" borderId="9" xfId="1" applyNumberFormat="1" applyFont="1" applyFill="1" applyBorder="1"/>
    <xf numFmtId="168" fontId="10" fillId="2" borderId="1" xfId="1" applyNumberFormat="1" applyFont="1" applyFill="1" applyBorder="1"/>
    <xf numFmtId="168" fontId="12" fillId="2" borderId="1" xfId="0" applyNumberFormat="1" applyFont="1" applyFill="1" applyBorder="1"/>
    <xf numFmtId="0" fontId="2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5" fontId="11" fillId="0" borderId="1" xfId="3" applyFont="1" applyFill="1" applyBorder="1"/>
    <xf numFmtId="9" fontId="11" fillId="0" borderId="1" xfId="2" applyFont="1" applyFill="1" applyBorder="1"/>
    <xf numFmtId="2" fontId="11" fillId="0" borderId="1" xfId="0" applyNumberFormat="1" applyFont="1" applyFill="1" applyBorder="1"/>
    <xf numFmtId="0" fontId="11" fillId="0" borderId="1" xfId="2" applyNumberFormat="1" applyFont="1" applyFill="1" applyBorder="1"/>
    <xf numFmtId="171" fontId="11" fillId="0" borderId="1" xfId="0" applyNumberFormat="1" applyFont="1" applyFill="1" applyBorder="1"/>
    <xf numFmtId="169" fontId="11" fillId="0" borderId="1" xfId="2" applyNumberFormat="1" applyFont="1" applyFill="1" applyBorder="1"/>
    <xf numFmtId="9" fontId="2" fillId="0" borderId="1" xfId="2" applyFont="1" applyBorder="1"/>
    <xf numFmtId="0" fontId="26" fillId="0" borderId="1" xfId="0" applyFont="1" applyFill="1" applyBorder="1"/>
    <xf numFmtId="168" fontId="2" fillId="0" borderId="0" xfId="0" applyNumberFormat="1" applyFont="1" applyFill="1" applyBorder="1"/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168" fontId="3" fillId="0" borderId="0" xfId="1" applyNumberFormat="1" applyFont="1" applyFill="1" applyBorder="1"/>
    <xf numFmtId="167" fontId="3" fillId="0" borderId="0" xfId="1" applyNumberFormat="1" applyFont="1" applyFill="1" applyBorder="1"/>
    <xf numFmtId="168" fontId="6" fillId="0" borderId="0" xfId="1" applyNumberFormat="1" applyFont="1" applyFill="1" applyBorder="1"/>
    <xf numFmtId="168" fontId="10" fillId="0" borderId="0" xfId="0" applyNumberFormat="1" applyFont="1" applyFill="1" applyBorder="1" applyAlignment="1">
      <alignment vertical="center"/>
    </xf>
    <xf numFmtId="0" fontId="6" fillId="0" borderId="1" xfId="1" applyNumberFormat="1" applyFont="1" applyBorder="1" applyAlignment="1">
      <alignment horizontal="center" vertical="center"/>
    </xf>
    <xf numFmtId="168" fontId="2" fillId="0" borderId="1" xfId="1" applyNumberFormat="1" applyFont="1" applyFill="1" applyBorder="1" applyAlignment="1">
      <alignment vertical="center"/>
    </xf>
    <xf numFmtId="167" fontId="2" fillId="0" borderId="1" xfId="1" applyNumberFormat="1" applyFont="1" applyFill="1" applyBorder="1" applyAlignment="1">
      <alignment vertical="center"/>
    </xf>
    <xf numFmtId="168" fontId="2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166" fontId="3" fillId="0" borderId="1" xfId="0" applyNumberFormat="1" applyFont="1" applyBorder="1" applyAlignment="1">
      <alignment horizontal="center" vertical="center"/>
    </xf>
    <xf numFmtId="166" fontId="6" fillId="0" borderId="1" xfId="0" applyNumberFormat="1" applyFont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168" fontId="7" fillId="0" borderId="1" xfId="0" applyNumberFormat="1" applyFont="1" applyBorder="1" applyAlignment="1">
      <alignment horizontal="center" vertical="center"/>
    </xf>
    <xf numFmtId="0" fontId="27" fillId="0" borderId="0" xfId="0" applyFont="1"/>
    <xf numFmtId="168" fontId="2" fillId="0" borderId="18" xfId="1" applyNumberFormat="1" applyFont="1" applyFill="1" applyBorder="1" applyAlignment="1">
      <alignment vertical="center"/>
    </xf>
    <xf numFmtId="168" fontId="2" fillId="0" borderId="1" xfId="1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3" fillId="0" borderId="0" xfId="0" applyFont="1"/>
    <xf numFmtId="172" fontId="29" fillId="0" borderId="1" xfId="0" applyNumberFormat="1" applyFont="1" applyFill="1" applyBorder="1" applyAlignment="1"/>
    <xf numFmtId="0" fontId="29" fillId="0" borderId="1" xfId="0" applyFont="1" applyFill="1" applyBorder="1" applyAlignment="1"/>
    <xf numFmtId="172" fontId="29" fillId="0" borderId="1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172" fontId="3" fillId="0" borderId="1" xfId="0" applyNumberFormat="1" applyFont="1" applyFill="1" applyBorder="1" applyAlignment="1">
      <alignment vertical="center"/>
    </xf>
    <xf numFmtId="172" fontId="26" fillId="0" borderId="1" xfId="0" applyNumberFormat="1" applyFont="1" applyFill="1" applyBorder="1" applyAlignment="1">
      <alignment vertical="center"/>
    </xf>
    <xf numFmtId="0" fontId="29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indent="1"/>
    </xf>
    <xf numFmtId="0" fontId="26" fillId="0" borderId="1" xfId="0" applyFont="1" applyFill="1" applyBorder="1" applyAlignment="1">
      <alignment horizontal="left" vertical="center" indent="1"/>
    </xf>
    <xf numFmtId="0" fontId="8" fillId="2" borderId="1" xfId="0" applyFont="1" applyFill="1" applyBorder="1" applyAlignment="1">
      <alignment horizontal="center" vertical="center" wrapText="1"/>
    </xf>
    <xf numFmtId="172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29" fillId="0" borderId="0" xfId="0" applyFont="1" applyAlignment="1"/>
    <xf numFmtId="0" fontId="29" fillId="0" borderId="1" xfId="0" applyFont="1" applyBorder="1" applyAlignment="1"/>
    <xf numFmtId="172" fontId="3" fillId="11" borderId="1" xfId="0" applyNumberFormat="1" applyFont="1" applyFill="1" applyBorder="1"/>
    <xf numFmtId="172" fontId="29" fillId="11" borderId="1" xfId="0" applyNumberFormat="1" applyFont="1" applyFill="1" applyBorder="1" applyAlignment="1"/>
    <xf numFmtId="172" fontId="26" fillId="11" borderId="1" xfId="0" applyNumberFormat="1" applyFont="1" applyFill="1" applyBorder="1" applyAlignment="1"/>
    <xf numFmtId="0" fontId="6" fillId="0" borderId="0" xfId="0" applyFont="1"/>
    <xf numFmtId="172" fontId="29" fillId="7" borderId="1" xfId="0" applyNumberFormat="1" applyFont="1" applyFill="1" applyBorder="1" applyAlignment="1"/>
    <xf numFmtId="0" fontId="10" fillId="2" borderId="7" xfId="0" applyFont="1" applyFill="1" applyBorder="1" applyAlignment="1">
      <alignment horizontal="center" vertical="center" wrapText="1"/>
    </xf>
    <xf numFmtId="2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indent="1"/>
    </xf>
    <xf numFmtId="0" fontId="26" fillId="0" borderId="1" xfId="0" applyFont="1" applyFill="1" applyBorder="1" applyAlignment="1">
      <alignment horizontal="left" indent="1"/>
    </xf>
    <xf numFmtId="0" fontId="29" fillId="7" borderId="1" xfId="0" applyFont="1" applyFill="1" applyBorder="1" applyAlignment="1">
      <alignment vertical="center"/>
    </xf>
    <xf numFmtId="2" fontId="2" fillId="0" borderId="1" xfId="0" applyNumberFormat="1" applyFont="1" applyBorder="1"/>
    <xf numFmtId="9" fontId="3" fillId="0" borderId="0" xfId="2" applyFont="1"/>
    <xf numFmtId="0" fontId="12" fillId="2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4" xfId="0" applyBorder="1"/>
    <xf numFmtId="0" fontId="12" fillId="2" borderId="1" xfId="0" applyFont="1" applyFill="1" applyBorder="1" applyAlignment="1">
      <alignment vertical="center"/>
    </xf>
    <xf numFmtId="166" fontId="0" fillId="0" borderId="1" xfId="0" applyNumberFormat="1" applyBorder="1"/>
    <xf numFmtId="0" fontId="0" fillId="0" borderId="0" xfId="0" applyFill="1" applyBorder="1" applyAlignment="1">
      <alignment horizontal="right"/>
    </xf>
    <xf numFmtId="0" fontId="5" fillId="0" borderId="0" xfId="0" applyFont="1" applyFill="1" applyBorder="1"/>
    <xf numFmtId="0" fontId="5" fillId="0" borderId="2" xfId="0" applyFont="1" applyBorder="1"/>
    <xf numFmtId="3" fontId="0" fillId="0" borderId="4" xfId="0" applyNumberFormat="1" applyBorder="1"/>
    <xf numFmtId="0" fontId="12" fillId="2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/>
    <xf numFmtId="0" fontId="0" fillId="0" borderId="3" xfId="0" applyBorder="1"/>
    <xf numFmtId="0" fontId="0" fillId="0" borderId="3" xfId="0" applyFill="1" applyBorder="1"/>
    <xf numFmtId="0" fontId="0" fillId="0" borderId="4" xfId="0" applyFill="1" applyBorder="1"/>
    <xf numFmtId="0" fontId="31" fillId="0" borderId="1" xfId="0" applyFont="1" applyFill="1" applyBorder="1"/>
    <xf numFmtId="0" fontId="5" fillId="0" borderId="33" xfId="0" applyFont="1" applyFill="1" applyBorder="1"/>
    <xf numFmtId="0" fontId="12" fillId="2" borderId="15" xfId="0" applyFont="1" applyFill="1" applyBorder="1" applyAlignment="1">
      <alignment horizontal="center" vertical="center"/>
    </xf>
    <xf numFmtId="0" fontId="19" fillId="2" borderId="15" xfId="0" applyFont="1" applyFill="1" applyBorder="1"/>
    <xf numFmtId="0" fontId="19" fillId="2" borderId="15" xfId="0" applyFont="1" applyFill="1" applyBorder="1" applyAlignment="1">
      <alignment horizontal="center" vertical="center"/>
    </xf>
    <xf numFmtId="168" fontId="12" fillId="2" borderId="15" xfId="0" applyNumberFormat="1" applyFont="1" applyFill="1" applyBorder="1"/>
    <xf numFmtId="168" fontId="24" fillId="0" borderId="4" xfId="0" applyNumberFormat="1" applyFont="1" applyBorder="1" applyAlignment="1"/>
    <xf numFmtId="168" fontId="24" fillId="0" borderId="1" xfId="1" applyNumberFormat="1" applyFont="1" applyBorder="1"/>
    <xf numFmtId="172" fontId="26" fillId="3" borderId="1" xfId="0" applyNumberFormat="1" applyFont="1" applyFill="1" applyBorder="1" applyAlignment="1"/>
    <xf numFmtId="0" fontId="8" fillId="2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8" fontId="2" fillId="0" borderId="0" xfId="0" applyNumberFormat="1" applyFont="1" applyAlignment="1">
      <alignment vertical="center"/>
    </xf>
    <xf numFmtId="0" fontId="18" fillId="0" borderId="0" xfId="0" applyFont="1"/>
    <xf numFmtId="0" fontId="6" fillId="0" borderId="1" xfId="0" applyFont="1" applyBorder="1" applyAlignment="1">
      <alignment horizontal="left" vertical="center"/>
    </xf>
    <xf numFmtId="166" fontId="2" fillId="0" borderId="0" xfId="0" applyNumberFormat="1" applyFont="1"/>
    <xf numFmtId="0" fontId="9" fillId="0" borderId="0" xfId="0" applyFont="1"/>
    <xf numFmtId="9" fontId="0" fillId="0" borderId="0" xfId="2" applyFont="1"/>
    <xf numFmtId="10" fontId="0" fillId="0" borderId="0" xfId="0" applyNumberFormat="1" applyFont="1"/>
    <xf numFmtId="0" fontId="2" fillId="0" borderId="0" xfId="0" applyFont="1" applyBorder="1" applyAlignment="1">
      <alignment horizontal="center" vertical="center" wrapText="1"/>
    </xf>
    <xf numFmtId="168" fontId="2" fillId="0" borderId="0" xfId="0" applyNumberFormat="1" applyFont="1" applyBorder="1" applyAlignment="1">
      <alignment horizontal="center" vertical="center"/>
    </xf>
    <xf numFmtId="166" fontId="0" fillId="0" borderId="0" xfId="0" applyNumberFormat="1" applyFont="1"/>
    <xf numFmtId="4" fontId="0" fillId="0" borderId="0" xfId="0" applyNumberFormat="1" applyFont="1"/>
    <xf numFmtId="166" fontId="0" fillId="0" borderId="0" xfId="0" applyNumberFormat="1" applyFont="1" applyBorder="1"/>
    <xf numFmtId="2" fontId="0" fillId="0" borderId="0" xfId="0" applyNumberFormat="1" applyFont="1"/>
    <xf numFmtId="172" fontId="3" fillId="11" borderId="1" xfId="0" applyNumberFormat="1" applyFont="1" applyFill="1" applyBorder="1" applyAlignment="1">
      <alignment horizontal="right" vertical="center"/>
    </xf>
    <xf numFmtId="172" fontId="3" fillId="0" borderId="1" xfId="0" applyNumberFormat="1" applyFont="1" applyFill="1" applyBorder="1" applyAlignment="1">
      <alignment horizontal="right" vertical="center"/>
    </xf>
    <xf numFmtId="172" fontId="29" fillId="11" borderId="1" xfId="0" applyNumberFormat="1" applyFont="1" applyFill="1" applyBorder="1" applyAlignment="1">
      <alignment horizontal="right" vertical="center"/>
    </xf>
    <xf numFmtId="172" fontId="29" fillId="0" borderId="1" xfId="0" applyNumberFormat="1" applyFont="1" applyFill="1" applyBorder="1" applyAlignment="1">
      <alignment horizontal="right" vertical="center"/>
    </xf>
    <xf numFmtId="172" fontId="26" fillId="11" borderId="1" xfId="0" applyNumberFormat="1" applyFont="1" applyFill="1" applyBorder="1" applyAlignment="1">
      <alignment horizontal="right" vertical="center"/>
    </xf>
    <xf numFmtId="172" fontId="29" fillId="7" borderId="1" xfId="0" applyNumberFormat="1" applyFont="1" applyFill="1" applyBorder="1" applyAlignment="1">
      <alignment horizontal="right" vertical="center"/>
    </xf>
    <xf numFmtId="0" fontId="18" fillId="0" borderId="1" xfId="0" applyFont="1" applyBorder="1"/>
    <xf numFmtId="168" fontId="7" fillId="0" borderId="1" xfId="1" applyNumberFormat="1" applyFont="1" applyBorder="1"/>
    <xf numFmtId="0" fontId="2" fillId="0" borderId="1" xfId="0" applyFont="1" applyFill="1" applyBorder="1"/>
    <xf numFmtId="0" fontId="2" fillId="0" borderId="1" xfId="0" applyFont="1" applyBorder="1" applyAlignment="1">
      <alignment horizontal="left"/>
    </xf>
    <xf numFmtId="0" fontId="6" fillId="0" borderId="0" xfId="0" applyFont="1" applyAlignment="1">
      <alignment horizontal="center" vertical="center"/>
    </xf>
    <xf numFmtId="172" fontId="6" fillId="0" borderId="1" xfId="0" applyNumberFormat="1" applyFont="1" applyBorder="1" applyAlignment="1">
      <alignment horizontal="center" vertical="center"/>
    </xf>
    <xf numFmtId="168" fontId="9" fillId="0" borderId="0" xfId="1" applyNumberFormat="1" applyFont="1" applyFill="1" applyBorder="1" applyAlignment="1">
      <alignment vertical="center"/>
    </xf>
    <xf numFmtId="167" fontId="9" fillId="0" borderId="0" xfId="1" applyNumberFormat="1" applyFont="1" applyFill="1" applyBorder="1" applyAlignment="1">
      <alignment vertical="center"/>
    </xf>
    <xf numFmtId="168" fontId="8" fillId="0" borderId="0" xfId="1" applyNumberFormat="1" applyFont="1" applyFill="1" applyBorder="1" applyAlignment="1">
      <alignment horizontal="center" vertical="center"/>
    </xf>
    <xf numFmtId="167" fontId="8" fillId="0" borderId="0" xfId="1" applyNumberFormat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4" fontId="7" fillId="0" borderId="1" xfId="0" applyNumberFormat="1" applyFont="1" applyBorder="1" applyAlignment="1">
      <alignment horizontal="center"/>
    </xf>
    <xf numFmtId="4" fontId="2" fillId="0" borderId="1" xfId="0" applyNumberFormat="1" applyFont="1" applyBorder="1"/>
    <xf numFmtId="4" fontId="7" fillId="0" borderId="1" xfId="0" applyNumberFormat="1" applyFont="1" applyBorder="1"/>
    <xf numFmtId="4" fontId="9" fillId="2" borderId="1" xfId="0" applyNumberFormat="1" applyFont="1" applyFill="1" applyBorder="1" applyAlignment="1">
      <alignment vertical="center"/>
    </xf>
    <xf numFmtId="4" fontId="2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/>
    </xf>
    <xf numFmtId="168" fontId="2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6" fontId="2" fillId="0" borderId="1" xfId="0" applyNumberFormat="1" applyFont="1" applyBorder="1"/>
    <xf numFmtId="166" fontId="7" fillId="0" borderId="1" xfId="0" applyNumberFormat="1" applyFont="1" applyBorder="1" applyAlignment="1">
      <alignment horizontal="center" vertical="center"/>
    </xf>
    <xf numFmtId="9" fontId="2" fillId="0" borderId="1" xfId="0" applyNumberFormat="1" applyFont="1" applyFill="1" applyBorder="1"/>
    <xf numFmtId="168" fontId="2" fillId="4" borderId="1" xfId="1" applyNumberFormat="1" applyFont="1" applyFill="1" applyBorder="1" applyAlignment="1">
      <alignment horizontal="center" vertical="center"/>
    </xf>
    <xf numFmtId="168" fontId="2" fillId="5" borderId="1" xfId="1" applyNumberFormat="1" applyFont="1" applyFill="1" applyBorder="1" applyAlignment="1">
      <alignment horizontal="center" vertical="center"/>
    </xf>
    <xf numFmtId="168" fontId="2" fillId="8" borderId="1" xfId="1" applyNumberFormat="1" applyFont="1" applyFill="1" applyBorder="1" applyAlignment="1">
      <alignment horizontal="center" vertical="center"/>
    </xf>
    <xf numFmtId="168" fontId="2" fillId="0" borderId="1" xfId="0" applyNumberFormat="1" applyFont="1" applyBorder="1"/>
    <xf numFmtId="0" fontId="32" fillId="0" borderId="1" xfId="0" applyFont="1" applyFill="1" applyBorder="1" applyAlignment="1">
      <alignment vertical="center"/>
    </xf>
    <xf numFmtId="172" fontId="3" fillId="0" borderId="1" xfId="0" applyNumberFormat="1" applyFont="1" applyBorder="1"/>
    <xf numFmtId="172" fontId="3" fillId="0" borderId="0" xfId="0" applyNumberFormat="1" applyFont="1" applyBorder="1"/>
    <xf numFmtId="0" fontId="3" fillId="0" borderId="0" xfId="0" applyFont="1" applyBorder="1"/>
    <xf numFmtId="172" fontId="6" fillId="0" borderId="1" xfId="0" applyNumberFormat="1" applyFont="1" applyBorder="1"/>
    <xf numFmtId="166" fontId="3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6" fillId="0" borderId="0" xfId="0" applyFont="1" applyBorder="1" applyAlignment="1">
      <alignment horizontal="center" vertical="center"/>
    </xf>
    <xf numFmtId="166" fontId="6" fillId="0" borderId="0" xfId="0" applyNumberFormat="1" applyFont="1" applyBorder="1" applyAlignment="1">
      <alignment horizontal="center" vertical="center"/>
    </xf>
    <xf numFmtId="168" fontId="7" fillId="0" borderId="0" xfId="0" applyNumberFormat="1" applyFont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/>
    </xf>
    <xf numFmtId="168" fontId="2" fillId="0" borderId="0" xfId="0" applyNumberFormat="1" applyFont="1" applyBorder="1"/>
    <xf numFmtId="0" fontId="7" fillId="0" borderId="0" xfId="0" applyFont="1" applyBorder="1" applyAlignment="1">
      <alignment horizontal="left"/>
    </xf>
    <xf numFmtId="174" fontId="35" fillId="11" borderId="1" xfId="4" applyNumberFormat="1" applyFont="1" applyFill="1" applyBorder="1"/>
    <xf numFmtId="0" fontId="10" fillId="2" borderId="1" xfId="0" applyFont="1" applyFill="1" applyBorder="1" applyAlignment="1">
      <alignment horizontal="left"/>
    </xf>
    <xf numFmtId="0" fontId="10" fillId="2" borderId="41" xfId="0" applyFont="1" applyFill="1" applyBorder="1" applyAlignment="1">
      <alignment horizontal="left"/>
    </xf>
    <xf numFmtId="0" fontId="10" fillId="2" borderId="9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 wrapText="1"/>
    </xf>
    <xf numFmtId="172" fontId="3" fillId="11" borderId="2" xfId="0" applyNumberFormat="1" applyFont="1" applyFill="1" applyBorder="1" applyAlignment="1">
      <alignment horizontal="right" vertical="center"/>
    </xf>
    <xf numFmtId="172" fontId="29" fillId="11" borderId="2" xfId="0" applyNumberFormat="1" applyFont="1" applyFill="1" applyBorder="1" applyAlignment="1">
      <alignment horizontal="right" vertical="center"/>
    </xf>
    <xf numFmtId="172" fontId="26" fillId="11" borderId="2" xfId="0" applyNumberFormat="1" applyFont="1" applyFill="1" applyBorder="1" applyAlignment="1">
      <alignment horizontal="right" vertical="center"/>
    </xf>
    <xf numFmtId="172" fontId="29" fillId="7" borderId="2" xfId="0" applyNumberFormat="1" applyFont="1" applyFill="1" applyBorder="1" applyAlignment="1">
      <alignment horizontal="right" vertical="center"/>
    </xf>
    <xf numFmtId="172" fontId="29" fillId="0" borderId="2" xfId="0" applyNumberFormat="1" applyFont="1" applyFill="1" applyBorder="1" applyAlignment="1">
      <alignment horizontal="right" vertical="center"/>
    </xf>
    <xf numFmtId="2" fontId="10" fillId="2" borderId="2" xfId="0" applyNumberFormat="1" applyFont="1" applyFill="1" applyBorder="1" applyAlignment="1">
      <alignment horizontal="center" vertical="center"/>
    </xf>
    <xf numFmtId="172" fontId="3" fillId="11" borderId="2" xfId="0" applyNumberFormat="1" applyFont="1" applyFill="1" applyBorder="1"/>
    <xf numFmtId="172" fontId="29" fillId="11" borderId="2" xfId="0" applyNumberFormat="1" applyFont="1" applyFill="1" applyBorder="1" applyAlignment="1"/>
    <xf numFmtId="172" fontId="26" fillId="11" borderId="2" xfId="0" applyNumberFormat="1" applyFont="1" applyFill="1" applyBorder="1" applyAlignment="1"/>
    <xf numFmtId="172" fontId="29" fillId="7" borderId="2" xfId="0" applyNumberFormat="1" applyFont="1" applyFill="1" applyBorder="1" applyAlignment="1"/>
    <xf numFmtId="172" fontId="29" fillId="0" borderId="2" xfId="0" applyNumberFormat="1" applyFont="1" applyFill="1" applyBorder="1" applyAlignment="1"/>
    <xf numFmtId="0" fontId="29" fillId="0" borderId="0" xfId="0" applyFont="1" applyFill="1" applyBorder="1" applyAlignment="1"/>
    <xf numFmtId="0" fontId="10" fillId="0" borderId="0" xfId="0" applyFont="1" applyFill="1" applyBorder="1" applyAlignment="1">
      <alignment horizontal="center" vertical="center" wrapText="1"/>
    </xf>
    <xf numFmtId="172" fontId="3" fillId="0" borderId="0" xfId="0" applyNumberFormat="1" applyFont="1" applyFill="1" applyBorder="1" applyAlignment="1">
      <alignment horizontal="right" vertical="center"/>
    </xf>
    <xf numFmtId="172" fontId="29" fillId="0" borderId="0" xfId="0" applyNumberFormat="1" applyFont="1" applyFill="1" applyBorder="1" applyAlignment="1">
      <alignment horizontal="right" vertical="center"/>
    </xf>
    <xf numFmtId="172" fontId="26" fillId="0" borderId="0" xfId="0" applyNumberFormat="1" applyFont="1" applyFill="1" applyBorder="1" applyAlignment="1">
      <alignment horizontal="right" vertical="center"/>
    </xf>
    <xf numFmtId="2" fontId="10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/>
    <xf numFmtId="172" fontId="3" fillId="0" borderId="0" xfId="0" applyNumberFormat="1" applyFont="1" applyFill="1" applyBorder="1"/>
    <xf numFmtId="172" fontId="29" fillId="0" borderId="0" xfId="0" applyNumberFormat="1" applyFont="1" applyFill="1" applyBorder="1" applyAlignment="1"/>
    <xf numFmtId="172" fontId="26" fillId="0" borderId="0" xfId="0" applyNumberFormat="1" applyFont="1" applyFill="1" applyBorder="1" applyAlignment="1"/>
    <xf numFmtId="172" fontId="6" fillId="0" borderId="1" xfId="0" applyNumberFormat="1" applyFont="1" applyFill="1" applyBorder="1" applyAlignment="1">
      <alignment horizontal="right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right" vertical="center"/>
    </xf>
    <xf numFmtId="168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168" fontId="6" fillId="0" borderId="0" xfId="0" applyNumberFormat="1" applyFont="1" applyFill="1" applyBorder="1" applyAlignment="1">
      <alignment vertical="center"/>
    </xf>
    <xf numFmtId="0" fontId="2" fillId="0" borderId="0" xfId="0" applyFont="1" applyBorder="1" applyAlignment="1">
      <alignment vertical="center" wrapText="1"/>
    </xf>
    <xf numFmtId="166" fontId="2" fillId="0" borderId="0" xfId="0" applyNumberFormat="1" applyFont="1" applyBorder="1"/>
    <xf numFmtId="9" fontId="2" fillId="0" borderId="0" xfId="0" applyNumberFormat="1" applyFont="1" applyBorder="1"/>
    <xf numFmtId="0" fontId="7" fillId="0" borderId="0" xfId="0" applyFont="1" applyAlignment="1">
      <alignment horizontal="center"/>
    </xf>
    <xf numFmtId="0" fontId="7" fillId="12" borderId="1" xfId="0" applyFont="1" applyFill="1" applyBorder="1"/>
    <xf numFmtId="0" fontId="7" fillId="3" borderId="1" xfId="0" applyFont="1" applyFill="1" applyBorder="1"/>
    <xf numFmtId="0" fontId="7" fillId="9" borderId="1" xfId="0" applyFont="1" applyFill="1" applyBorder="1"/>
    <xf numFmtId="0" fontId="8" fillId="2" borderId="3" xfId="0" applyFont="1" applyFill="1" applyBorder="1" applyAlignment="1">
      <alignment vertical="center"/>
    </xf>
    <xf numFmtId="0" fontId="15" fillId="0" borderId="1" xfId="0" applyNumberFormat="1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6" fontId="3" fillId="0" borderId="1" xfId="1" applyNumberFormat="1" applyFont="1" applyBorder="1"/>
    <xf numFmtId="0" fontId="4" fillId="0" borderId="1" xfId="0" applyFont="1" applyFill="1" applyBorder="1" applyAlignment="1">
      <alignment horizontal="center" vertical="center" wrapText="1"/>
    </xf>
    <xf numFmtId="168" fontId="6" fillId="0" borderId="1" xfId="0" applyNumberFormat="1" applyFont="1" applyFill="1" applyBorder="1" applyAlignment="1">
      <alignment vertical="center"/>
    </xf>
    <xf numFmtId="9" fontId="2" fillId="0" borderId="0" xfId="2" applyFont="1" applyAlignment="1">
      <alignment horizontal="center" vertical="center"/>
    </xf>
    <xf numFmtId="10" fontId="2" fillId="0" borderId="0" xfId="0" applyNumberFormat="1" applyFont="1"/>
    <xf numFmtId="166" fontId="7" fillId="0" borderId="1" xfId="0" applyNumberFormat="1" applyFont="1" applyBorder="1"/>
    <xf numFmtId="0" fontId="8" fillId="2" borderId="1" xfId="0" applyFont="1" applyFill="1" applyBorder="1" applyAlignment="1">
      <alignment horizontal="center"/>
    </xf>
    <xf numFmtId="168" fontId="7" fillId="0" borderId="1" xfId="0" applyNumberFormat="1" applyFont="1" applyBorder="1"/>
    <xf numFmtId="4" fontId="2" fillId="0" borderId="0" xfId="0" applyNumberFormat="1" applyFont="1"/>
    <xf numFmtId="2" fontId="2" fillId="0" borderId="0" xfId="0" applyNumberFormat="1" applyFont="1"/>
    <xf numFmtId="0" fontId="2" fillId="0" borderId="0" xfId="0" applyFont="1" applyBorder="1" applyAlignment="1">
      <alignment horizontal="center" vertical="center"/>
    </xf>
    <xf numFmtId="0" fontId="18" fillId="0" borderId="2" xfId="0" applyFont="1" applyBorder="1"/>
    <xf numFmtId="9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0" fillId="2" borderId="42" xfId="0" applyFont="1" applyFill="1" applyBorder="1" applyAlignment="1">
      <alignment horizontal="left"/>
    </xf>
    <xf numFmtId="174" fontId="35" fillId="11" borderId="0" xfId="4" applyNumberFormat="1" applyFont="1" applyFill="1" applyBorder="1"/>
    <xf numFmtId="174" fontId="3" fillId="0" borderId="1" xfId="0" applyNumberFormat="1" applyFont="1" applyBorder="1"/>
    <xf numFmtId="174" fontId="3" fillId="0" borderId="1" xfId="0" applyNumberFormat="1" applyFont="1" applyFill="1" applyBorder="1"/>
    <xf numFmtId="174" fontId="35" fillId="0" borderId="1" xfId="4" applyNumberFormat="1" applyFont="1" applyFill="1" applyBorder="1"/>
    <xf numFmtId="0" fontId="36" fillId="0" borderId="0" xfId="0" applyFont="1"/>
    <xf numFmtId="0" fontId="19" fillId="2" borderId="1" xfId="0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164" fontId="0" fillId="0" borderId="1" xfId="0" applyNumberFormat="1" applyBorder="1"/>
    <xf numFmtId="0" fontId="19" fillId="2" borderId="1" xfId="0" applyFont="1" applyFill="1" applyBorder="1"/>
    <xf numFmtId="0" fontId="6" fillId="6" borderId="1" xfId="0" applyFont="1" applyFill="1" applyBorder="1" applyAlignment="1">
      <alignment horizontal="center" vertical="center"/>
    </xf>
    <xf numFmtId="0" fontId="0" fillId="4" borderId="10" xfId="0" applyFill="1" applyBorder="1"/>
    <xf numFmtId="0" fontId="20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Fill="1" applyBorder="1" applyAlignment="1">
      <alignment vertical="center"/>
    </xf>
    <xf numFmtId="0" fontId="37" fillId="18" borderId="44" xfId="5" applyFill="1" applyBorder="1"/>
    <xf numFmtId="0" fontId="37" fillId="13" borderId="44" xfId="5" applyBorder="1"/>
    <xf numFmtId="0" fontId="37" fillId="19" borderId="44" xfId="5" applyFill="1" applyBorder="1"/>
    <xf numFmtId="0" fontId="38" fillId="14" borderId="45" xfId="6" applyBorder="1"/>
    <xf numFmtId="0" fontId="37" fillId="18" borderId="0" xfId="5" applyFill="1" applyBorder="1"/>
    <xf numFmtId="0" fontId="37" fillId="13" borderId="0" xfId="5" applyBorder="1"/>
    <xf numFmtId="0" fontId="37" fillId="19" borderId="0" xfId="5" applyFill="1" applyBorder="1"/>
    <xf numFmtId="0" fontId="38" fillId="14" borderId="47" xfId="6" applyBorder="1"/>
    <xf numFmtId="0" fontId="37" fillId="20" borderId="0" xfId="5" applyFill="1" applyBorder="1"/>
    <xf numFmtId="0" fontId="37" fillId="21" borderId="0" xfId="5" applyFill="1" applyBorder="1"/>
    <xf numFmtId="0" fontId="37" fillId="7" borderId="46" xfId="5" applyFill="1" applyBorder="1"/>
    <xf numFmtId="0" fontId="37" fillId="7" borderId="0" xfId="5" applyFill="1" applyBorder="1"/>
    <xf numFmtId="0" fontId="37" fillId="13" borderId="46" xfId="5" applyBorder="1"/>
    <xf numFmtId="0" fontId="37" fillId="22" borderId="46" xfId="5" applyFill="1" applyBorder="1"/>
    <xf numFmtId="0" fontId="37" fillId="22" borderId="0" xfId="5" applyFill="1" applyBorder="1"/>
    <xf numFmtId="0" fontId="37" fillId="13" borderId="47" xfId="5" applyBorder="1"/>
    <xf numFmtId="0" fontId="37" fillId="13" borderId="48" xfId="5" applyBorder="1"/>
    <xf numFmtId="0" fontId="37" fillId="19" borderId="48" xfId="5" applyFill="1" applyBorder="1"/>
    <xf numFmtId="0" fontId="38" fillId="14" borderId="49" xfId="6" applyBorder="1"/>
    <xf numFmtId="0" fontId="37" fillId="20" borderId="46" xfId="5" applyFill="1" applyBorder="1"/>
    <xf numFmtId="0" fontId="0" fillId="0" borderId="47" xfId="0" applyBorder="1"/>
    <xf numFmtId="0" fontId="37" fillId="13" borderId="0" xfId="5"/>
    <xf numFmtId="0" fontId="37" fillId="13" borderId="50" xfId="5" applyBorder="1"/>
    <xf numFmtId="0" fontId="37" fillId="13" borderId="49" xfId="5" applyBorder="1"/>
    <xf numFmtId="0" fontId="20" fillId="0" borderId="0" xfId="0" applyFont="1" applyBorder="1" applyAlignment="1">
      <alignment horizontal="center" vertical="center"/>
    </xf>
    <xf numFmtId="0" fontId="31" fillId="0" borderId="0" xfId="0" applyFont="1" applyFill="1"/>
    <xf numFmtId="0" fontId="31" fillId="0" borderId="0" xfId="0" applyFont="1" applyFill="1" applyAlignment="1">
      <alignment horizontal="left" indent="1"/>
    </xf>
    <xf numFmtId="0" fontId="21" fillId="0" borderId="0" xfId="0" applyFont="1" applyFill="1"/>
    <xf numFmtId="4" fontId="2" fillId="0" borderId="0" xfId="0" applyNumberFormat="1" applyFont="1" applyBorder="1"/>
    <xf numFmtId="0" fontId="33" fillId="0" borderId="0" xfId="0" applyFont="1" applyBorder="1"/>
    <xf numFmtId="0" fontId="31" fillId="0" borderId="0" xfId="10" applyFont="1" applyFill="1" applyAlignment="1">
      <alignment horizontal="left" indent="1"/>
    </xf>
    <xf numFmtId="0" fontId="31" fillId="0" borderId="0" xfId="10" applyFont="1" applyAlignment="1">
      <alignment horizontal="left" indent="1"/>
    </xf>
    <xf numFmtId="0" fontId="21" fillId="0" borderId="0" xfId="10" applyFont="1" applyFill="1"/>
    <xf numFmtId="0" fontId="0" fillId="0" borderId="0" xfId="0" applyFill="1" applyAlignment="1">
      <alignment horizontal="right"/>
    </xf>
    <xf numFmtId="0" fontId="42" fillId="0" borderId="0" xfId="0" applyFont="1" applyFill="1" applyAlignment="1">
      <alignment horizontal="right"/>
    </xf>
    <xf numFmtId="171" fontId="0" fillId="0" borderId="1" xfId="0" applyNumberFormat="1" applyBorder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 indent="1"/>
    </xf>
    <xf numFmtId="10" fontId="3" fillId="0" borderId="0" xfId="0" applyNumberFormat="1" applyFont="1" applyFill="1" applyAlignment="1">
      <alignment vertical="center"/>
    </xf>
    <xf numFmtId="172" fontId="6" fillId="0" borderId="1" xfId="0" applyNumberFormat="1" applyFont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16" fillId="2" borderId="1" xfId="0" applyFont="1" applyFill="1" applyBorder="1"/>
    <xf numFmtId="172" fontId="10" fillId="2" borderId="1" xfId="0" applyNumberFormat="1" applyFont="1" applyFill="1" applyBorder="1" applyAlignment="1">
      <alignment horizontal="center" vertical="center"/>
    </xf>
    <xf numFmtId="174" fontId="10" fillId="2" borderId="1" xfId="4" applyNumberFormat="1" applyFont="1" applyFill="1" applyBorder="1"/>
    <xf numFmtId="9" fontId="2" fillId="0" borderId="1" xfId="0" applyNumberFormat="1" applyFont="1" applyFill="1" applyBorder="1" applyAlignment="1">
      <alignment horizontal="center"/>
    </xf>
    <xf numFmtId="0" fontId="2" fillId="0" borderId="2" xfId="0" applyFont="1" applyFill="1" applyBorder="1"/>
    <xf numFmtId="4" fontId="2" fillId="0" borderId="1" xfId="0" applyNumberFormat="1" applyFont="1" applyFill="1" applyBorder="1"/>
    <xf numFmtId="0" fontId="7" fillId="0" borderId="1" xfId="0" applyFont="1" applyFill="1" applyBorder="1" applyAlignment="1">
      <alignment vertical="center"/>
    </xf>
    <xf numFmtId="4" fontId="7" fillId="0" borderId="1" xfId="0" applyNumberFormat="1" applyFont="1" applyFill="1" applyBorder="1"/>
    <xf numFmtId="0" fontId="8" fillId="2" borderId="1" xfId="0" applyFont="1" applyFill="1" applyBorder="1" applyAlignment="1">
      <alignment horizontal="center" vertical="center"/>
    </xf>
    <xf numFmtId="174" fontId="43" fillId="11" borderId="1" xfId="4" applyNumberFormat="1" applyFont="1" applyFill="1" applyBorder="1"/>
    <xf numFmtId="174" fontId="43" fillId="0" borderId="1" xfId="4" applyNumberFormat="1" applyFont="1" applyFill="1" applyBorder="1"/>
    <xf numFmtId="0" fontId="7" fillId="0" borderId="7" xfId="0" applyFont="1" applyBorder="1" applyAlignment="1">
      <alignment vertical="center"/>
    </xf>
    <xf numFmtId="0" fontId="7" fillId="0" borderId="8" xfId="0" applyFont="1" applyBorder="1" applyAlignment="1">
      <alignment vertical="center"/>
    </xf>
    <xf numFmtId="167" fontId="19" fillId="2" borderId="2" xfId="1" applyFont="1" applyFill="1" applyBorder="1" applyAlignment="1">
      <alignment horizontal="center"/>
    </xf>
    <xf numFmtId="175" fontId="19" fillId="2" borderId="2" xfId="0" applyNumberFormat="1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9" fontId="0" fillId="0" borderId="1" xfId="2" applyFont="1" applyBorder="1" applyAlignment="1">
      <alignment horizontal="center"/>
    </xf>
    <xf numFmtId="175" fontId="0" fillId="0" borderId="1" xfId="0" applyNumberFormat="1" applyFont="1" applyBorder="1"/>
    <xf numFmtId="175" fontId="0" fillId="0" borderId="1" xfId="1" applyNumberFormat="1" applyFont="1" applyBorder="1"/>
    <xf numFmtId="175" fontId="3" fillId="0" borderId="9" xfId="1" applyNumberFormat="1" applyFont="1" applyBorder="1"/>
    <xf numFmtId="0" fontId="0" fillId="0" borderId="0" xfId="0" applyAlignment="1"/>
    <xf numFmtId="0" fontId="8" fillId="2" borderId="7" xfId="0" applyFont="1" applyFill="1" applyBorder="1" applyAlignment="1">
      <alignment vertical="center" wrapText="1"/>
    </xf>
    <xf numFmtId="0" fontId="0" fillId="0" borderId="11" xfId="0" applyFont="1" applyBorder="1" applyAlignment="1"/>
    <xf numFmtId="168" fontId="10" fillId="2" borderId="1" xfId="1" applyNumberFormat="1" applyFont="1" applyFill="1" applyBorder="1" applyAlignment="1"/>
    <xf numFmtId="175" fontId="3" fillId="0" borderId="6" xfId="1" applyNumberFormat="1" applyFont="1" applyBorder="1" applyAlignment="1">
      <alignment horizontal="center"/>
    </xf>
    <xf numFmtId="175" fontId="3" fillId="0" borderId="2" xfId="1" applyNumberFormat="1" applyFont="1" applyBorder="1" applyAlignment="1">
      <alignment horizontal="center"/>
    </xf>
    <xf numFmtId="1" fontId="3" fillId="0" borderId="1" xfId="1" applyNumberFormat="1" applyFont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168" fontId="2" fillId="0" borderId="11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68" fontId="2" fillId="0" borderId="34" xfId="1" applyNumberFormat="1" applyFont="1" applyBorder="1" applyAlignment="1">
      <alignment horizontal="center"/>
    </xf>
    <xf numFmtId="168" fontId="2" fillId="0" borderId="4" xfId="1" applyNumberFormat="1" applyFont="1" applyBorder="1" applyAlignment="1">
      <alignment horizontal="center"/>
    </xf>
    <xf numFmtId="0" fontId="6" fillId="6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168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168" fontId="9" fillId="2" borderId="6" xfId="1" applyNumberFormat="1" applyFont="1" applyFill="1" applyBorder="1" applyAlignment="1">
      <alignment horizontal="center" vertical="center"/>
    </xf>
    <xf numFmtId="168" fontId="9" fillId="2" borderId="19" xfId="1" applyNumberFormat="1" applyFont="1" applyFill="1" applyBorder="1" applyAlignment="1">
      <alignment horizontal="center" vertical="center"/>
    </xf>
    <xf numFmtId="168" fontId="9" fillId="2" borderId="20" xfId="1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39" fillId="16" borderId="43" xfId="8" applyFont="1" applyBorder="1" applyAlignment="1">
      <alignment horizontal="center" vertical="center"/>
    </xf>
    <xf numFmtId="0" fontId="39" fillId="16" borderId="44" xfId="8" applyFont="1" applyBorder="1" applyAlignment="1">
      <alignment horizontal="center" vertical="center"/>
    </xf>
    <xf numFmtId="0" fontId="39" fillId="16" borderId="46" xfId="8" applyFont="1" applyBorder="1" applyAlignment="1">
      <alignment horizontal="center" vertical="center"/>
    </xf>
    <xf numFmtId="0" fontId="39" fillId="16" borderId="0" xfId="8" applyFont="1" applyBorder="1" applyAlignment="1">
      <alignment horizontal="center" vertical="center"/>
    </xf>
    <xf numFmtId="0" fontId="39" fillId="15" borderId="46" xfId="7" applyFont="1" applyBorder="1" applyAlignment="1">
      <alignment horizontal="center" vertical="center"/>
    </xf>
    <xf numFmtId="0" fontId="39" fillId="15" borderId="0" xfId="7" applyFont="1" applyBorder="1" applyAlignment="1">
      <alignment horizontal="center" vertical="center"/>
    </xf>
    <xf numFmtId="0" fontId="40" fillId="17" borderId="46" xfId="9" applyFont="1" applyBorder="1" applyAlignment="1">
      <alignment horizontal="center" vertical="center"/>
    </xf>
    <xf numFmtId="0" fontId="40" fillId="17" borderId="0" xfId="9" applyFont="1" applyBorder="1" applyAlignment="1">
      <alignment horizontal="center" vertical="center"/>
    </xf>
    <xf numFmtId="0" fontId="40" fillId="17" borderId="47" xfId="9" applyFont="1" applyBorder="1" applyAlignment="1">
      <alignment horizontal="center" vertical="center"/>
    </xf>
    <xf numFmtId="0" fontId="40" fillId="17" borderId="50" xfId="9" applyFont="1" applyBorder="1" applyAlignment="1">
      <alignment horizontal="center" vertical="center"/>
    </xf>
    <xf numFmtId="0" fontId="40" fillId="17" borderId="48" xfId="9" applyFont="1" applyBorder="1" applyAlignment="1">
      <alignment horizontal="center" vertical="center"/>
    </xf>
    <xf numFmtId="0" fontId="40" fillId="17" borderId="49" xfId="9" applyFont="1" applyBorder="1" applyAlignment="1">
      <alignment horizontal="center" vertical="center"/>
    </xf>
    <xf numFmtId="0" fontId="20" fillId="0" borderId="51" xfId="0" applyFont="1" applyBorder="1" applyAlignment="1">
      <alignment horizontal="center" vertical="center"/>
    </xf>
    <xf numFmtId="0" fontId="20" fillId="0" borderId="52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</cellXfs>
  <cellStyles count="11">
    <cellStyle name="40% - Énfasis4" xfId="7" builtinId="43"/>
    <cellStyle name="40% - Énfasis5" xfId="8" builtinId="47"/>
    <cellStyle name="60% - Énfasis6" xfId="9" builtinId="52"/>
    <cellStyle name="Bueno" xfId="5" builtinId="26"/>
    <cellStyle name="Hipervínculo" xfId="10" builtinId="8"/>
    <cellStyle name="Incorrecto" xfId="6" builtinId="27"/>
    <cellStyle name="Millares" xfId="1" builtinId="3"/>
    <cellStyle name="Moneda" xfId="3" builtinId="4"/>
    <cellStyle name="Moneda 2" xfId="4"/>
    <cellStyle name="Normal" xfId="0" builtinId="0"/>
    <cellStyle name="Porcentaje" xfId="2" builtinId="5"/>
  </cellStyles>
  <dxfs count="0"/>
  <tableStyles count="0" defaultTableStyle="TableStyleMedium9" defaultPivotStyle="PivotStyleLight16"/>
  <colors>
    <mruColors>
      <color rgb="FF00FF00"/>
      <color rgb="FFFC5D42"/>
      <color rgb="FFFFFF66"/>
      <color rgb="FFF21E0E"/>
      <color rgb="FFEE17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372299</xdr:colOff>
      <xdr:row>1</xdr:row>
      <xdr:rowOff>181841</xdr:rowOff>
    </xdr:from>
    <xdr:to>
      <xdr:col>12</xdr:col>
      <xdr:colOff>330799</xdr:colOff>
      <xdr:row>13</xdr:row>
      <xdr:rowOff>77931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195" t="14648" r="8455" b="21607"/>
        <a:stretch/>
      </xdr:blipFill>
      <xdr:spPr>
        <a:xfrm>
          <a:off x="5489822" y="450273"/>
          <a:ext cx="5413727" cy="2415885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441613</xdr:colOff>
      <xdr:row>16</xdr:row>
      <xdr:rowOff>43297</xdr:rowOff>
    </xdr:from>
    <xdr:to>
      <xdr:col>9</xdr:col>
      <xdr:colOff>381000</xdr:colOff>
      <xdr:row>35</xdr:row>
      <xdr:rowOff>146640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605" t="16062" r="52551" b="30800"/>
        <a:stretch/>
      </xdr:blipFill>
      <xdr:spPr>
        <a:xfrm>
          <a:off x="5559136" y="3325092"/>
          <a:ext cx="3056659" cy="3281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133350</xdr:rowOff>
    </xdr:from>
    <xdr:to>
      <xdr:col>0</xdr:col>
      <xdr:colOff>1097280</xdr:colOff>
      <xdr:row>37</xdr:row>
      <xdr:rowOff>150495</xdr:rowOff>
    </xdr:to>
    <xdr:pic>
      <xdr:nvPicPr>
        <xdr:cNvPr id="3" name="2 Imagen" descr="Relación Beneficio Costo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8725"/>
          <a:ext cx="1097280" cy="77914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352425</xdr:colOff>
      <xdr:row>11</xdr:row>
      <xdr:rowOff>171450</xdr:rowOff>
    </xdr:from>
    <xdr:to>
      <xdr:col>13</xdr:col>
      <xdr:colOff>60282</xdr:colOff>
      <xdr:row>34</xdr:row>
      <xdr:rowOff>133350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17" t="24102" r="28803" b="18989"/>
        <a:stretch/>
      </xdr:blipFill>
      <xdr:spPr>
        <a:xfrm>
          <a:off x="5705475" y="2828925"/>
          <a:ext cx="5546682" cy="4343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604335</xdr:colOff>
      <xdr:row>4</xdr:row>
      <xdr:rowOff>159540</xdr:rowOff>
    </xdr:from>
    <xdr:to>
      <xdr:col>15</xdr:col>
      <xdr:colOff>597441</xdr:colOff>
      <xdr:row>35</xdr:row>
      <xdr:rowOff>54029</xdr:rowOff>
    </xdr:to>
    <xdr:grpSp>
      <xdr:nvGrpSpPr>
        <xdr:cNvPr id="2" name="1 Grupo"/>
        <xdr:cNvGrpSpPr/>
      </xdr:nvGrpSpPr>
      <xdr:grpSpPr>
        <a:xfrm>
          <a:off x="3842835" y="1016790"/>
          <a:ext cx="6184356" cy="5430895"/>
          <a:chOff x="3759491" y="552446"/>
          <a:chExt cx="6458200" cy="5621396"/>
        </a:xfrm>
      </xdr:grpSpPr>
      <xdr:grpSp>
        <xdr:nvGrpSpPr>
          <xdr:cNvPr id="3" name="2 Grupo"/>
          <xdr:cNvGrpSpPr/>
        </xdr:nvGrpSpPr>
        <xdr:grpSpPr>
          <a:xfrm>
            <a:off x="5750763" y="2387909"/>
            <a:ext cx="2642170" cy="664853"/>
            <a:chOff x="3762426" y="2295043"/>
            <a:chExt cx="3070795" cy="733909"/>
          </a:xfrm>
        </xdr:grpSpPr>
        <xdr:grpSp>
          <xdr:nvGrpSpPr>
            <xdr:cNvPr id="92" name="91 Grupo"/>
            <xdr:cNvGrpSpPr/>
          </xdr:nvGrpSpPr>
          <xdr:grpSpPr>
            <a:xfrm>
              <a:off x="3762426" y="2295043"/>
              <a:ext cx="1051963" cy="708132"/>
              <a:chOff x="6750900" y="1354450"/>
              <a:chExt cx="1051963" cy="708132"/>
            </a:xfrm>
          </xdr:grpSpPr>
          <xdr:grpSp>
            <xdr:nvGrpSpPr>
              <xdr:cNvPr id="106" name="87 Grupo"/>
              <xdr:cNvGrpSpPr>
                <a:grpSpLocks/>
              </xdr:cNvGrpSpPr>
            </xdr:nvGrpSpPr>
            <xdr:grpSpPr bwMode="auto">
              <a:xfrm rot="16200000">
                <a:off x="7035918" y="1295636"/>
                <a:ext cx="708132" cy="825759"/>
                <a:chOff x="2195018" y="1011115"/>
                <a:chExt cx="353133" cy="585255"/>
              </a:xfrm>
            </xdr:grpSpPr>
            <xdr:sp macro="" textlink="">
              <xdr:nvSpPr>
                <xdr:cNvPr id="108" name="Rectangle 39"/>
                <xdr:cNvSpPr>
                  <a:spLocks noChangeArrowheads="1"/>
                </xdr:cNvSpPr>
              </xdr:nvSpPr>
              <xdr:spPr bwMode="auto">
                <a:xfrm>
                  <a:off x="2297353" y="1011115"/>
                  <a:ext cx="141778" cy="464076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09" name="Oval 45"/>
                <xdr:cNvSpPr>
                  <a:spLocks noChangeArrowheads="1"/>
                </xdr:cNvSpPr>
              </xdr:nvSpPr>
              <xdr:spPr bwMode="auto">
                <a:xfrm>
                  <a:off x="2195018" y="1289538"/>
                  <a:ext cx="76200" cy="76200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10" name="Oval 48"/>
                <xdr:cNvSpPr>
                  <a:spLocks noChangeArrowheads="1"/>
                </xdr:cNvSpPr>
              </xdr:nvSpPr>
              <xdr:spPr bwMode="auto">
                <a:xfrm>
                  <a:off x="2315230" y="1520170"/>
                  <a:ext cx="76200" cy="76200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11" name="Oval 43"/>
                <xdr:cNvSpPr>
                  <a:spLocks noChangeArrowheads="1"/>
                </xdr:cNvSpPr>
              </xdr:nvSpPr>
              <xdr:spPr bwMode="auto">
                <a:xfrm>
                  <a:off x="2201611" y="1112127"/>
                  <a:ext cx="76200" cy="76200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12" name="Oval 43"/>
                <xdr:cNvSpPr>
                  <a:spLocks noChangeArrowheads="1"/>
                </xdr:cNvSpPr>
              </xdr:nvSpPr>
              <xdr:spPr bwMode="auto">
                <a:xfrm>
                  <a:off x="2471951" y="1300207"/>
                  <a:ext cx="76200" cy="76200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13" name="Oval 43"/>
                <xdr:cNvSpPr>
                  <a:spLocks noChangeArrowheads="1"/>
                </xdr:cNvSpPr>
              </xdr:nvSpPr>
              <xdr:spPr bwMode="auto">
                <a:xfrm>
                  <a:off x="2466013" y="1120566"/>
                  <a:ext cx="76200" cy="76200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sp macro="" textlink="">
            <xdr:nvSpPr>
              <xdr:cNvPr id="107" name="Oval 43"/>
              <xdr:cNvSpPr>
                <a:spLocks noChangeArrowheads="1"/>
              </xdr:cNvSpPr>
            </xdr:nvSpPr>
            <xdr:spPr bwMode="auto">
              <a:xfrm rot="16200000">
                <a:off x="6773545" y="1641372"/>
                <a:ext cx="107514" cy="152803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93" name="92 Grupo"/>
            <xdr:cNvGrpSpPr/>
          </xdr:nvGrpSpPr>
          <xdr:grpSpPr>
            <a:xfrm>
              <a:off x="5023936" y="2340770"/>
              <a:ext cx="1809285" cy="688182"/>
              <a:chOff x="7026568" y="223838"/>
              <a:chExt cx="1809285" cy="688182"/>
            </a:xfrm>
          </xdr:grpSpPr>
          <xdr:grpSp>
            <xdr:nvGrpSpPr>
              <xdr:cNvPr id="94" name="93 Grupo"/>
              <xdr:cNvGrpSpPr/>
            </xdr:nvGrpSpPr>
            <xdr:grpSpPr>
              <a:xfrm>
                <a:off x="8040985" y="238126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101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102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03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04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05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95" name="94 Grupo"/>
              <xdr:cNvGrpSpPr/>
            </xdr:nvGrpSpPr>
            <xdr:grpSpPr>
              <a:xfrm>
                <a:off x="7026568" y="223838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96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97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98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99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100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</xdr:grpSp>
      <xdr:grpSp>
        <xdr:nvGrpSpPr>
          <xdr:cNvPr id="4" name="3 Grupo"/>
          <xdr:cNvGrpSpPr/>
        </xdr:nvGrpSpPr>
        <xdr:grpSpPr>
          <a:xfrm>
            <a:off x="3759491" y="552446"/>
            <a:ext cx="6386048" cy="740570"/>
            <a:chOff x="2056899" y="373856"/>
            <a:chExt cx="6778954" cy="740570"/>
          </a:xfrm>
        </xdr:grpSpPr>
        <xdr:grpSp>
          <xdr:nvGrpSpPr>
            <xdr:cNvPr id="48" name="47 Grupo"/>
            <xdr:cNvGrpSpPr/>
          </xdr:nvGrpSpPr>
          <xdr:grpSpPr>
            <a:xfrm>
              <a:off x="5988343" y="423863"/>
              <a:ext cx="2847510" cy="690563"/>
              <a:chOff x="5988343" y="221457"/>
              <a:chExt cx="2847510" cy="690563"/>
            </a:xfrm>
          </xdr:grpSpPr>
          <xdr:grpSp>
            <xdr:nvGrpSpPr>
              <xdr:cNvPr id="74" name="73 Grupo"/>
              <xdr:cNvGrpSpPr/>
            </xdr:nvGrpSpPr>
            <xdr:grpSpPr>
              <a:xfrm>
                <a:off x="8040985" y="238126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87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8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9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90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91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75" name="74 Grupo"/>
              <xdr:cNvGrpSpPr/>
            </xdr:nvGrpSpPr>
            <xdr:grpSpPr>
              <a:xfrm>
                <a:off x="7026568" y="223838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82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83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4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5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6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76" name="75 Grupo"/>
              <xdr:cNvGrpSpPr/>
            </xdr:nvGrpSpPr>
            <xdr:grpSpPr>
              <a:xfrm>
                <a:off x="5988343" y="221457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77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8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9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0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81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  <xdr:grpSp>
          <xdr:nvGrpSpPr>
            <xdr:cNvPr id="49" name="48 Grupo"/>
            <xdr:cNvGrpSpPr/>
          </xdr:nvGrpSpPr>
          <xdr:grpSpPr>
            <a:xfrm>
              <a:off x="2985586" y="397669"/>
              <a:ext cx="2847510" cy="690563"/>
              <a:chOff x="5988343" y="221457"/>
              <a:chExt cx="2847510" cy="690563"/>
            </a:xfrm>
          </xdr:grpSpPr>
          <xdr:grpSp>
            <xdr:nvGrpSpPr>
              <xdr:cNvPr id="56" name="55 Grupo"/>
              <xdr:cNvGrpSpPr/>
            </xdr:nvGrpSpPr>
            <xdr:grpSpPr>
              <a:xfrm>
                <a:off x="8040985" y="238126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69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70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1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2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73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57" name="56 Grupo"/>
              <xdr:cNvGrpSpPr/>
            </xdr:nvGrpSpPr>
            <xdr:grpSpPr>
              <a:xfrm>
                <a:off x="7026568" y="223838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64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5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6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7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8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58" name="57 Grupo"/>
              <xdr:cNvGrpSpPr/>
            </xdr:nvGrpSpPr>
            <xdr:grpSpPr>
              <a:xfrm>
                <a:off x="5988343" y="221457"/>
                <a:ext cx="794868" cy="673894"/>
                <a:chOff x="6874175" y="404812"/>
                <a:chExt cx="794868" cy="673894"/>
              </a:xfrm>
            </xdr:grpSpPr>
            <xdr:sp macro="" textlink="">
              <xdr:nvSpPr>
                <xdr:cNvPr id="59" name="Rectangle 39"/>
                <xdr:cNvSpPr>
                  <a:spLocks noChangeArrowheads="1"/>
                </xdr:cNvSpPr>
              </xdr:nvSpPr>
              <xdr:spPr bwMode="auto">
                <a:xfrm>
                  <a:off x="7087369" y="586328"/>
                  <a:ext cx="368783" cy="306641"/>
                </a:xfrm>
                <a:prstGeom prst="rect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miter lim="800000"/>
                  <a:headEnd/>
                  <a:tailEnd/>
                </a:ln>
              </xdr:spPr>
            </xdr:sp>
            <xdr:sp macro="" textlink="">
              <xdr:nvSpPr>
                <xdr:cNvPr id="60" name="Oval 43"/>
                <xdr:cNvSpPr>
                  <a:spLocks noChangeArrowheads="1"/>
                </xdr:cNvSpPr>
              </xdr:nvSpPr>
              <xdr:spPr bwMode="auto">
                <a:xfrm>
                  <a:off x="7516240" y="675235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1" name="Oval 47"/>
                <xdr:cNvSpPr>
                  <a:spLocks noChangeArrowheads="1"/>
                </xdr:cNvSpPr>
              </xdr:nvSpPr>
              <xdr:spPr bwMode="auto">
                <a:xfrm>
                  <a:off x="6874175" y="661796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2" name="Oval 48"/>
                <xdr:cNvSpPr>
                  <a:spLocks noChangeArrowheads="1"/>
                </xdr:cNvSpPr>
              </xdr:nvSpPr>
              <xdr:spPr bwMode="auto">
                <a:xfrm>
                  <a:off x="7195791" y="971192"/>
                  <a:ext cx="152803" cy="107514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63" name="Oval 49"/>
                <xdr:cNvSpPr>
                  <a:spLocks noChangeArrowheads="1"/>
                </xdr:cNvSpPr>
              </xdr:nvSpPr>
              <xdr:spPr bwMode="auto">
                <a:xfrm>
                  <a:off x="7207697" y="404812"/>
                  <a:ext cx="152803" cy="92006"/>
                </a:xfrm>
                <a:prstGeom prst="ellipse">
                  <a:avLst/>
                </a:prstGeom>
                <a:solidFill>
                  <a:srgbClr val="CC9900"/>
                </a:solidFill>
                <a:ln w="9525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  <xdr:grpSp>
          <xdr:nvGrpSpPr>
            <xdr:cNvPr id="50" name="49 Grupo"/>
            <xdr:cNvGrpSpPr/>
          </xdr:nvGrpSpPr>
          <xdr:grpSpPr>
            <a:xfrm>
              <a:off x="2056899" y="373856"/>
              <a:ext cx="794868" cy="673894"/>
              <a:chOff x="6874175" y="404812"/>
              <a:chExt cx="794868" cy="673894"/>
            </a:xfrm>
          </xdr:grpSpPr>
          <xdr:sp macro="" textlink="">
            <xdr:nvSpPr>
              <xdr:cNvPr id="51" name="Rectangle 39"/>
              <xdr:cNvSpPr>
                <a:spLocks noChangeArrowheads="1"/>
              </xdr:cNvSpPr>
            </xdr:nvSpPr>
            <xdr:spPr bwMode="auto">
              <a:xfrm>
                <a:off x="7087369" y="586328"/>
                <a:ext cx="368783" cy="306641"/>
              </a:xfrm>
              <a:prstGeom prst="rect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2" name="Oval 43"/>
              <xdr:cNvSpPr>
                <a:spLocks noChangeArrowheads="1"/>
              </xdr:cNvSpPr>
            </xdr:nvSpPr>
            <xdr:spPr bwMode="auto">
              <a:xfrm>
                <a:off x="7516240" y="675235"/>
                <a:ext cx="152803" cy="107514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3" name="Oval 47"/>
              <xdr:cNvSpPr>
                <a:spLocks noChangeArrowheads="1"/>
              </xdr:cNvSpPr>
            </xdr:nvSpPr>
            <xdr:spPr bwMode="auto">
              <a:xfrm>
                <a:off x="6874175" y="661796"/>
                <a:ext cx="152803" cy="107514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4" name="Oval 48"/>
              <xdr:cNvSpPr>
                <a:spLocks noChangeArrowheads="1"/>
              </xdr:cNvSpPr>
            </xdr:nvSpPr>
            <xdr:spPr bwMode="auto">
              <a:xfrm>
                <a:off x="7195791" y="971192"/>
                <a:ext cx="152803" cy="107514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5" name="Oval 49"/>
              <xdr:cNvSpPr>
                <a:spLocks noChangeArrowheads="1"/>
              </xdr:cNvSpPr>
            </xdr:nvSpPr>
            <xdr:spPr bwMode="auto">
              <a:xfrm>
                <a:off x="7207697" y="404812"/>
                <a:ext cx="152803" cy="92006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</xdr:grpSp>
      <xdr:grpSp>
        <xdr:nvGrpSpPr>
          <xdr:cNvPr id="5" name="4 Grupo"/>
          <xdr:cNvGrpSpPr/>
        </xdr:nvGrpSpPr>
        <xdr:grpSpPr>
          <a:xfrm>
            <a:off x="4060020" y="2381253"/>
            <a:ext cx="678667" cy="602456"/>
            <a:chOff x="2286000" y="6310313"/>
            <a:chExt cx="794868" cy="673894"/>
          </a:xfrm>
        </xdr:grpSpPr>
        <xdr:sp macro="" textlink="">
          <xdr:nvSpPr>
            <xdr:cNvPr id="43" name="Rectangle 39"/>
            <xdr:cNvSpPr>
              <a:spLocks noChangeArrowheads="1"/>
            </xdr:cNvSpPr>
          </xdr:nvSpPr>
          <xdr:spPr bwMode="auto">
            <a:xfrm>
              <a:off x="2499194" y="6491829"/>
              <a:ext cx="368783" cy="306641"/>
            </a:xfrm>
            <a:prstGeom prst="rect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4" name="Oval 43"/>
            <xdr:cNvSpPr>
              <a:spLocks noChangeArrowheads="1"/>
            </xdr:cNvSpPr>
          </xdr:nvSpPr>
          <xdr:spPr bwMode="auto">
            <a:xfrm>
              <a:off x="2928065" y="6580736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5" name="Oval 47"/>
            <xdr:cNvSpPr>
              <a:spLocks noChangeArrowheads="1"/>
            </xdr:cNvSpPr>
          </xdr:nvSpPr>
          <xdr:spPr bwMode="auto">
            <a:xfrm>
              <a:off x="2286000" y="6567297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6" name="Oval 48"/>
            <xdr:cNvSpPr>
              <a:spLocks noChangeArrowheads="1"/>
            </xdr:cNvSpPr>
          </xdr:nvSpPr>
          <xdr:spPr bwMode="auto">
            <a:xfrm>
              <a:off x="2607616" y="6876693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7" name="Oval 49"/>
            <xdr:cNvSpPr>
              <a:spLocks noChangeArrowheads="1"/>
            </xdr:cNvSpPr>
          </xdr:nvSpPr>
          <xdr:spPr bwMode="auto">
            <a:xfrm>
              <a:off x="2619522" y="6310313"/>
              <a:ext cx="152803" cy="92006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6" name="5 Grupo"/>
          <xdr:cNvGrpSpPr/>
        </xdr:nvGrpSpPr>
        <xdr:grpSpPr>
          <a:xfrm rot="16200000">
            <a:off x="3902167" y="4675606"/>
            <a:ext cx="815247" cy="641501"/>
            <a:chOff x="6750900" y="1354450"/>
            <a:chExt cx="1051963" cy="708132"/>
          </a:xfrm>
        </xdr:grpSpPr>
        <xdr:grpSp>
          <xdr:nvGrpSpPr>
            <xdr:cNvPr id="35" name="87 Grupo"/>
            <xdr:cNvGrpSpPr>
              <a:grpSpLocks/>
            </xdr:cNvGrpSpPr>
          </xdr:nvGrpSpPr>
          <xdr:grpSpPr bwMode="auto">
            <a:xfrm rot="16200000">
              <a:off x="7035918" y="1295636"/>
              <a:ext cx="708132" cy="825759"/>
              <a:chOff x="2195018" y="1011115"/>
              <a:chExt cx="353133" cy="585255"/>
            </a:xfrm>
          </xdr:grpSpPr>
          <xdr:sp macro="" textlink="">
            <xdr:nvSpPr>
              <xdr:cNvPr id="37" name="Rectangle 39"/>
              <xdr:cNvSpPr>
                <a:spLocks noChangeArrowheads="1"/>
              </xdr:cNvSpPr>
            </xdr:nvSpPr>
            <xdr:spPr bwMode="auto">
              <a:xfrm>
                <a:off x="2297353" y="1011115"/>
                <a:ext cx="141778" cy="464076"/>
              </a:xfrm>
              <a:prstGeom prst="rect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38" name="Oval 45"/>
              <xdr:cNvSpPr>
                <a:spLocks noChangeArrowheads="1"/>
              </xdr:cNvSpPr>
            </xdr:nvSpPr>
            <xdr:spPr bwMode="auto">
              <a:xfrm>
                <a:off x="2195018" y="1289538"/>
                <a:ext cx="76200" cy="76200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9" name="Oval 48"/>
              <xdr:cNvSpPr>
                <a:spLocks noChangeArrowheads="1"/>
              </xdr:cNvSpPr>
            </xdr:nvSpPr>
            <xdr:spPr bwMode="auto">
              <a:xfrm>
                <a:off x="2315230" y="1520170"/>
                <a:ext cx="76200" cy="76200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" name="Oval 43"/>
              <xdr:cNvSpPr>
                <a:spLocks noChangeArrowheads="1"/>
              </xdr:cNvSpPr>
            </xdr:nvSpPr>
            <xdr:spPr bwMode="auto">
              <a:xfrm>
                <a:off x="2201611" y="1112127"/>
                <a:ext cx="76200" cy="76200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" name="Oval 43"/>
              <xdr:cNvSpPr>
                <a:spLocks noChangeArrowheads="1"/>
              </xdr:cNvSpPr>
            </xdr:nvSpPr>
            <xdr:spPr bwMode="auto">
              <a:xfrm>
                <a:off x="2471951" y="1300207"/>
                <a:ext cx="76200" cy="76200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2" name="Oval 43"/>
              <xdr:cNvSpPr>
                <a:spLocks noChangeArrowheads="1"/>
              </xdr:cNvSpPr>
            </xdr:nvSpPr>
            <xdr:spPr bwMode="auto">
              <a:xfrm>
                <a:off x="2466013" y="1120566"/>
                <a:ext cx="76200" cy="76200"/>
              </a:xfrm>
              <a:prstGeom prst="ellipse">
                <a:avLst/>
              </a:prstGeom>
              <a:solidFill>
                <a:srgbClr val="CC9900"/>
              </a:solidFill>
              <a:ln w="952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6" name="Oval 43"/>
            <xdr:cNvSpPr>
              <a:spLocks noChangeArrowheads="1"/>
            </xdr:cNvSpPr>
          </xdr:nvSpPr>
          <xdr:spPr bwMode="auto">
            <a:xfrm rot="16200000">
              <a:off x="6773545" y="1641372"/>
              <a:ext cx="107514" cy="152803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7" name="6 Grupo"/>
          <xdr:cNvGrpSpPr/>
        </xdr:nvGrpSpPr>
        <xdr:grpSpPr>
          <a:xfrm rot="16200000">
            <a:off x="4016836" y="3824665"/>
            <a:ext cx="616004" cy="610485"/>
            <a:chOff x="6874175" y="404812"/>
            <a:chExt cx="794868" cy="673894"/>
          </a:xfrm>
        </xdr:grpSpPr>
        <xdr:sp macro="" textlink="">
          <xdr:nvSpPr>
            <xdr:cNvPr id="30" name="Rectangle 39"/>
            <xdr:cNvSpPr>
              <a:spLocks noChangeArrowheads="1"/>
            </xdr:cNvSpPr>
          </xdr:nvSpPr>
          <xdr:spPr bwMode="auto">
            <a:xfrm>
              <a:off x="7087369" y="586328"/>
              <a:ext cx="368783" cy="306641"/>
            </a:xfrm>
            <a:prstGeom prst="rect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1" name="Oval 43"/>
            <xdr:cNvSpPr>
              <a:spLocks noChangeArrowheads="1"/>
            </xdr:cNvSpPr>
          </xdr:nvSpPr>
          <xdr:spPr bwMode="auto">
            <a:xfrm>
              <a:off x="7516240" y="675235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" name="Oval 47"/>
            <xdr:cNvSpPr>
              <a:spLocks noChangeArrowheads="1"/>
            </xdr:cNvSpPr>
          </xdr:nvSpPr>
          <xdr:spPr bwMode="auto">
            <a:xfrm>
              <a:off x="6874175" y="661796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3" name="Oval 48"/>
            <xdr:cNvSpPr>
              <a:spLocks noChangeArrowheads="1"/>
            </xdr:cNvSpPr>
          </xdr:nvSpPr>
          <xdr:spPr bwMode="auto">
            <a:xfrm>
              <a:off x="7195791" y="971192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" name="Oval 49"/>
            <xdr:cNvSpPr>
              <a:spLocks noChangeArrowheads="1"/>
            </xdr:cNvSpPr>
          </xdr:nvSpPr>
          <xdr:spPr bwMode="auto">
            <a:xfrm>
              <a:off x="7207697" y="404812"/>
              <a:ext cx="152803" cy="92006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8" name="7 Grupo"/>
          <xdr:cNvGrpSpPr/>
        </xdr:nvGrpSpPr>
        <xdr:grpSpPr>
          <a:xfrm rot="16200000">
            <a:off x="4038268" y="5560597"/>
            <a:ext cx="616004" cy="610485"/>
            <a:chOff x="6874175" y="404812"/>
            <a:chExt cx="794868" cy="673894"/>
          </a:xfrm>
        </xdr:grpSpPr>
        <xdr:sp macro="" textlink="">
          <xdr:nvSpPr>
            <xdr:cNvPr id="25" name="Rectangle 39"/>
            <xdr:cNvSpPr>
              <a:spLocks noChangeArrowheads="1"/>
            </xdr:cNvSpPr>
          </xdr:nvSpPr>
          <xdr:spPr bwMode="auto">
            <a:xfrm>
              <a:off x="7087369" y="586328"/>
              <a:ext cx="368783" cy="306641"/>
            </a:xfrm>
            <a:prstGeom prst="rect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Oval 43"/>
            <xdr:cNvSpPr>
              <a:spLocks noChangeArrowheads="1"/>
            </xdr:cNvSpPr>
          </xdr:nvSpPr>
          <xdr:spPr bwMode="auto">
            <a:xfrm>
              <a:off x="7516240" y="675235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Oval 47"/>
            <xdr:cNvSpPr>
              <a:spLocks noChangeArrowheads="1"/>
            </xdr:cNvSpPr>
          </xdr:nvSpPr>
          <xdr:spPr bwMode="auto">
            <a:xfrm>
              <a:off x="6874175" y="661796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" name="Oval 48"/>
            <xdr:cNvSpPr>
              <a:spLocks noChangeArrowheads="1"/>
            </xdr:cNvSpPr>
          </xdr:nvSpPr>
          <xdr:spPr bwMode="auto">
            <a:xfrm>
              <a:off x="7195791" y="971192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" name="Oval 49"/>
            <xdr:cNvSpPr>
              <a:spLocks noChangeArrowheads="1"/>
            </xdr:cNvSpPr>
          </xdr:nvSpPr>
          <xdr:spPr bwMode="auto">
            <a:xfrm>
              <a:off x="7207697" y="404812"/>
              <a:ext cx="152803" cy="92006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9" name="8 Grupo"/>
          <xdr:cNvGrpSpPr/>
        </xdr:nvGrpSpPr>
        <xdr:grpSpPr>
          <a:xfrm rot="16200000">
            <a:off x="5133643" y="3869909"/>
            <a:ext cx="616004" cy="610485"/>
            <a:chOff x="6874175" y="404812"/>
            <a:chExt cx="794868" cy="673894"/>
          </a:xfrm>
        </xdr:grpSpPr>
        <xdr:sp macro="" textlink="">
          <xdr:nvSpPr>
            <xdr:cNvPr id="20" name="Rectangle 39"/>
            <xdr:cNvSpPr>
              <a:spLocks noChangeArrowheads="1"/>
            </xdr:cNvSpPr>
          </xdr:nvSpPr>
          <xdr:spPr bwMode="auto">
            <a:xfrm>
              <a:off x="7087369" y="586328"/>
              <a:ext cx="368783" cy="306641"/>
            </a:xfrm>
            <a:prstGeom prst="rect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1" name="Oval 43"/>
            <xdr:cNvSpPr>
              <a:spLocks noChangeArrowheads="1"/>
            </xdr:cNvSpPr>
          </xdr:nvSpPr>
          <xdr:spPr bwMode="auto">
            <a:xfrm>
              <a:off x="7516240" y="675235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2" name="Oval 47"/>
            <xdr:cNvSpPr>
              <a:spLocks noChangeArrowheads="1"/>
            </xdr:cNvSpPr>
          </xdr:nvSpPr>
          <xdr:spPr bwMode="auto">
            <a:xfrm>
              <a:off x="6874175" y="661796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" name="Oval 48"/>
            <xdr:cNvSpPr>
              <a:spLocks noChangeArrowheads="1"/>
            </xdr:cNvSpPr>
          </xdr:nvSpPr>
          <xdr:spPr bwMode="auto">
            <a:xfrm>
              <a:off x="7195791" y="971192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" name="Oval 49"/>
            <xdr:cNvSpPr>
              <a:spLocks noChangeArrowheads="1"/>
            </xdr:cNvSpPr>
          </xdr:nvSpPr>
          <xdr:spPr bwMode="auto">
            <a:xfrm>
              <a:off x="7207697" y="404812"/>
              <a:ext cx="152803" cy="92006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0" name="9 Grupo"/>
          <xdr:cNvGrpSpPr/>
        </xdr:nvGrpSpPr>
        <xdr:grpSpPr>
          <a:xfrm rot="16200000">
            <a:off x="5131262" y="4653341"/>
            <a:ext cx="616004" cy="610485"/>
            <a:chOff x="6874175" y="404812"/>
            <a:chExt cx="794868" cy="673894"/>
          </a:xfrm>
        </xdr:grpSpPr>
        <xdr:sp macro="" textlink="">
          <xdr:nvSpPr>
            <xdr:cNvPr id="15" name="Rectangle 39"/>
            <xdr:cNvSpPr>
              <a:spLocks noChangeArrowheads="1"/>
            </xdr:cNvSpPr>
          </xdr:nvSpPr>
          <xdr:spPr bwMode="auto">
            <a:xfrm>
              <a:off x="7087369" y="586328"/>
              <a:ext cx="368783" cy="306641"/>
            </a:xfrm>
            <a:prstGeom prst="rect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6" name="Oval 43"/>
            <xdr:cNvSpPr>
              <a:spLocks noChangeArrowheads="1"/>
            </xdr:cNvSpPr>
          </xdr:nvSpPr>
          <xdr:spPr bwMode="auto">
            <a:xfrm>
              <a:off x="7516240" y="675235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" name="Oval 47"/>
            <xdr:cNvSpPr>
              <a:spLocks noChangeArrowheads="1"/>
            </xdr:cNvSpPr>
          </xdr:nvSpPr>
          <xdr:spPr bwMode="auto">
            <a:xfrm>
              <a:off x="6874175" y="661796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" name="Oval 48"/>
            <xdr:cNvSpPr>
              <a:spLocks noChangeArrowheads="1"/>
            </xdr:cNvSpPr>
          </xdr:nvSpPr>
          <xdr:spPr bwMode="auto">
            <a:xfrm>
              <a:off x="7195791" y="971192"/>
              <a:ext cx="152803" cy="107514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" name="Oval 49"/>
            <xdr:cNvSpPr>
              <a:spLocks noChangeArrowheads="1"/>
            </xdr:cNvSpPr>
          </xdr:nvSpPr>
          <xdr:spPr bwMode="auto">
            <a:xfrm>
              <a:off x="7207697" y="404812"/>
              <a:ext cx="152803" cy="92006"/>
            </a:xfrm>
            <a:prstGeom prst="ellipse">
              <a:avLst/>
            </a:prstGeom>
            <a:solidFill>
              <a:srgbClr val="CC99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1" name="10 Grupo"/>
          <xdr:cNvGrpSpPr/>
        </xdr:nvGrpSpPr>
        <xdr:grpSpPr>
          <a:xfrm>
            <a:off x="8679654" y="2500315"/>
            <a:ext cx="1538037" cy="892967"/>
            <a:chOff x="8679654" y="2500315"/>
            <a:chExt cx="1538037" cy="892967"/>
          </a:xfrm>
        </xdr:grpSpPr>
        <xdr:sp macro="" textlink="">
          <xdr:nvSpPr>
            <xdr:cNvPr id="12" name="Rectangle 39"/>
            <xdr:cNvSpPr>
              <a:spLocks noChangeArrowheads="1"/>
            </xdr:cNvSpPr>
          </xdr:nvSpPr>
          <xdr:spPr bwMode="auto">
            <a:xfrm>
              <a:off x="9998870" y="2905126"/>
              <a:ext cx="216693" cy="488156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3" name="Rectangle 39"/>
            <xdr:cNvSpPr>
              <a:spLocks noChangeArrowheads="1"/>
            </xdr:cNvSpPr>
          </xdr:nvSpPr>
          <xdr:spPr bwMode="auto">
            <a:xfrm>
              <a:off x="9334501" y="2500315"/>
              <a:ext cx="883190" cy="306641"/>
            </a:xfrm>
            <a:prstGeom prst="rect">
              <a:avLst/>
            </a:prstGeom>
            <a:solidFill>
              <a:schemeClr val="bg2">
                <a:lumMod val="50000"/>
              </a:schemeClr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4" name="Rectangle 39"/>
            <xdr:cNvSpPr>
              <a:spLocks noChangeArrowheads="1"/>
            </xdr:cNvSpPr>
          </xdr:nvSpPr>
          <xdr:spPr bwMode="auto">
            <a:xfrm>
              <a:off x="8679654" y="2940844"/>
              <a:ext cx="500063" cy="378618"/>
            </a:xfrm>
            <a:prstGeom prst="rect">
              <a:avLst/>
            </a:prstGeom>
            <a:solidFill>
              <a:srgbClr val="92D050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</xdr:grpSp>
    </xdr:grpSp>
    <xdr:clientData/>
  </xdr:twoCellAnchor>
  <xdr:twoCellAnchor editAs="oneCell">
    <xdr:from>
      <xdr:col>1</xdr:col>
      <xdr:colOff>214313</xdr:colOff>
      <xdr:row>39</xdr:row>
      <xdr:rowOff>59532</xdr:rowOff>
    </xdr:from>
    <xdr:to>
      <xdr:col>11</xdr:col>
      <xdr:colOff>86164</xdr:colOff>
      <xdr:row>61</xdr:row>
      <xdr:rowOff>95250</xdr:rowOff>
    </xdr:to>
    <xdr:pic>
      <xdr:nvPicPr>
        <xdr:cNvPr id="115" name="114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8909" t="5834" r="18662" b="16795"/>
        <a:stretch/>
      </xdr:blipFill>
      <xdr:spPr>
        <a:xfrm>
          <a:off x="976313" y="7322345"/>
          <a:ext cx="6063101" cy="4226718"/>
        </a:xfrm>
        <a:prstGeom prst="rect">
          <a:avLst/>
        </a:prstGeom>
      </xdr:spPr>
    </xdr:pic>
    <xdr:clientData/>
  </xdr:twoCellAnchor>
  <xdr:twoCellAnchor editAs="oneCell">
    <xdr:from>
      <xdr:col>11</xdr:col>
      <xdr:colOff>535781</xdr:colOff>
      <xdr:row>39</xdr:row>
      <xdr:rowOff>59531</xdr:rowOff>
    </xdr:from>
    <xdr:to>
      <xdr:col>20</xdr:col>
      <xdr:colOff>595313</xdr:colOff>
      <xdr:row>62</xdr:row>
      <xdr:rowOff>142170</xdr:rowOff>
    </xdr:to>
    <xdr:pic>
      <xdr:nvPicPr>
        <xdr:cNvPr id="116" name="115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221" t="5834" r="18740" b="10961"/>
        <a:stretch/>
      </xdr:blipFill>
      <xdr:spPr>
        <a:xfrm>
          <a:off x="7489031" y="7322344"/>
          <a:ext cx="5917407" cy="44641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7"/>
  <sheetViews>
    <sheetView showGridLines="0" zoomScaleNormal="100" workbookViewId="0">
      <selection activeCell="A14" sqref="A14"/>
    </sheetView>
  </sheetViews>
  <sheetFormatPr baseColWidth="10" defaultColWidth="11.44140625" defaultRowHeight="14.4" x14ac:dyDescent="0.3"/>
  <cols>
    <col min="1" max="1" width="11.44140625" style="429"/>
    <col min="2" max="2" width="27.44140625" style="127" bestFit="1" customWidth="1"/>
    <col min="3" max="16384" width="11.44140625" style="127"/>
  </cols>
  <sheetData>
    <row r="1" spans="1:5" ht="24" customHeight="1" x14ac:dyDescent="0.3">
      <c r="B1" s="465" t="s">
        <v>423</v>
      </c>
      <c r="C1" s="465"/>
      <c r="D1" s="465"/>
      <c r="E1" s="465"/>
    </row>
    <row r="2" spans="1:5" ht="29.25" customHeight="1" x14ac:dyDescent="0.3"/>
    <row r="3" spans="1:5" ht="15.75" customHeight="1" x14ac:dyDescent="0.3">
      <c r="A3" s="429" t="s">
        <v>428</v>
      </c>
      <c r="B3" s="428" t="s">
        <v>408</v>
      </c>
    </row>
    <row r="4" spans="1:5" ht="15.75" customHeight="1" x14ac:dyDescent="0.3">
      <c r="B4" s="422" t="s">
        <v>244</v>
      </c>
    </row>
    <row r="5" spans="1:5" ht="15.75" customHeight="1" x14ac:dyDescent="0.3">
      <c r="B5" s="422" t="s">
        <v>245</v>
      </c>
    </row>
    <row r="6" spans="1:5" ht="15.75" customHeight="1" x14ac:dyDescent="0.3">
      <c r="B6" s="422" t="s">
        <v>250</v>
      </c>
    </row>
    <row r="7" spans="1:5" ht="15.75" customHeight="1" x14ac:dyDescent="0.3">
      <c r="B7" s="422" t="s">
        <v>409</v>
      </c>
    </row>
    <row r="8" spans="1:5" ht="15.75" customHeight="1" x14ac:dyDescent="0.3">
      <c r="B8" s="422"/>
    </row>
    <row r="9" spans="1:5" ht="15.75" customHeight="1" x14ac:dyDescent="0.3">
      <c r="A9" s="429" t="s">
        <v>429</v>
      </c>
      <c r="B9" s="428" t="s">
        <v>411</v>
      </c>
    </row>
    <row r="10" spans="1:5" ht="15.75" customHeight="1" x14ac:dyDescent="0.3">
      <c r="B10" s="422" t="s">
        <v>412</v>
      </c>
    </row>
    <row r="11" spans="1:5" ht="15.75" customHeight="1" x14ac:dyDescent="0.3">
      <c r="B11" s="422" t="s">
        <v>413</v>
      </c>
    </row>
    <row r="12" spans="1:5" ht="15.75" customHeight="1" x14ac:dyDescent="0.3">
      <c r="B12" s="422"/>
    </row>
    <row r="13" spans="1:5" ht="15.75" customHeight="1" x14ac:dyDescent="0.3">
      <c r="A13" s="429" t="s">
        <v>430</v>
      </c>
      <c r="B13" s="428" t="s">
        <v>414</v>
      </c>
    </row>
    <row r="14" spans="1:5" ht="15.75" customHeight="1" x14ac:dyDescent="0.3">
      <c r="B14" s="422" t="s">
        <v>53</v>
      </c>
    </row>
    <row r="15" spans="1:5" ht="15.75" customHeight="1" x14ac:dyDescent="0.3">
      <c r="B15" s="422" t="s">
        <v>416</v>
      </c>
    </row>
    <row r="16" spans="1:5" ht="15.75" customHeight="1" x14ac:dyDescent="0.3">
      <c r="B16" s="422" t="s">
        <v>417</v>
      </c>
    </row>
    <row r="17" spans="1:2" ht="15.75" customHeight="1" x14ac:dyDescent="0.3">
      <c r="B17" s="422"/>
    </row>
    <row r="18" spans="1:2" ht="15.75" customHeight="1" x14ac:dyDescent="0.3">
      <c r="A18" s="429" t="s">
        <v>431</v>
      </c>
      <c r="B18" s="428" t="s">
        <v>322</v>
      </c>
    </row>
    <row r="19" spans="1:2" x14ac:dyDescent="0.3">
      <c r="A19" s="429" t="s">
        <v>432</v>
      </c>
      <c r="B19" s="428" t="s">
        <v>40</v>
      </c>
    </row>
    <row r="20" spans="1:2" x14ac:dyDescent="0.3">
      <c r="A20" s="429" t="s">
        <v>433</v>
      </c>
      <c r="B20" s="423" t="s">
        <v>418</v>
      </c>
    </row>
    <row r="21" spans="1:2" x14ac:dyDescent="0.3">
      <c r="A21" s="430"/>
      <c r="B21" s="426" t="s">
        <v>405</v>
      </c>
    </row>
    <row r="22" spans="1:2" x14ac:dyDescent="0.3">
      <c r="A22" s="430"/>
      <c r="B22" s="426" t="s">
        <v>406</v>
      </c>
    </row>
    <row r="23" spans="1:2" x14ac:dyDescent="0.3">
      <c r="A23" s="430"/>
      <c r="B23" s="426" t="s">
        <v>200</v>
      </c>
    </row>
    <row r="24" spans="1:2" x14ac:dyDescent="0.3">
      <c r="A24" s="430"/>
      <c r="B24" s="422"/>
    </row>
    <row r="25" spans="1:2" x14ac:dyDescent="0.3">
      <c r="A25" s="429" t="s">
        <v>434</v>
      </c>
      <c r="B25" s="423" t="s">
        <v>419</v>
      </c>
    </row>
    <row r="26" spans="1:2" x14ac:dyDescent="0.3">
      <c r="B26" s="426" t="s">
        <v>323</v>
      </c>
    </row>
    <row r="27" spans="1:2" x14ac:dyDescent="0.3">
      <c r="B27" s="426" t="s">
        <v>426</v>
      </c>
    </row>
    <row r="28" spans="1:2" x14ac:dyDescent="0.3">
      <c r="B28" s="422"/>
    </row>
    <row r="29" spans="1:2" x14ac:dyDescent="0.3">
      <c r="A29" s="429" t="s">
        <v>435</v>
      </c>
      <c r="B29" s="423" t="s">
        <v>420</v>
      </c>
    </row>
    <row r="30" spans="1:2" x14ac:dyDescent="0.3">
      <c r="B30" s="426" t="s">
        <v>407</v>
      </c>
    </row>
    <row r="31" spans="1:2" x14ac:dyDescent="0.3">
      <c r="B31" s="426" t="s">
        <v>422</v>
      </c>
    </row>
    <row r="32" spans="1:2" x14ac:dyDescent="0.3">
      <c r="B32" s="427" t="s">
        <v>421</v>
      </c>
    </row>
    <row r="33" spans="2:2" x14ac:dyDescent="0.3">
      <c r="B33" s="421"/>
    </row>
    <row r="34" spans="2:2" x14ac:dyDescent="0.3">
      <c r="B34" s="421"/>
    </row>
    <row r="35" spans="2:2" x14ac:dyDescent="0.3">
      <c r="B35" s="421"/>
    </row>
    <row r="36" spans="2:2" x14ac:dyDescent="0.3">
      <c r="B36" s="421"/>
    </row>
    <row r="37" spans="2:2" x14ac:dyDescent="0.3">
      <c r="B37" s="421"/>
    </row>
  </sheetData>
  <mergeCells count="1">
    <mergeCell ref="B1:E1"/>
  </mergeCells>
  <hyperlinks>
    <hyperlink ref="B3" location="Inversión!A1" display="Presupuesto de Inversiones"/>
    <hyperlink ref="B9" location="EsquemaFinanciero!A1" display="Esquema Financiero"/>
    <hyperlink ref="B13" location="'Proyección de ventas'!A1" display="Proyección de ventas"/>
    <hyperlink ref="B19" location="Depreciación!A1" display="Depreciación"/>
    <hyperlink ref="B18" location="PlanDeEgresos!A1" display="Plan de Egresos"/>
    <hyperlink ref="B21" location="'Costo M. Prima'!A1" display="Costo Materia Prima"/>
    <hyperlink ref="B22" location="CostosDePersonal!A1" display="Costo de Personal "/>
    <hyperlink ref="B23" location="'Otros Costos'!A1" display="Otros Costos"/>
    <hyperlink ref="B26" location="EstadoDeResultados!A1" display="Estado de Resultados"/>
    <hyperlink ref="B27" location="'PlanDeVentas y FlujoDeEfectivo'!A1" display="Estado de flujo de efectivo"/>
    <hyperlink ref="B30" location="PuntoDeEquilibrio!A1" display="Punto de Equilibrio"/>
    <hyperlink ref="B31" location="'Análisis Costo-Beneficio'!A1" display="Relación Costo-Beneficio"/>
    <hyperlink ref="B32" location="'PlanDeVentas y FlujoDeEfectivo'!A42" display="VAN y TIR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Z74"/>
  <sheetViews>
    <sheetView showGridLines="0" topLeftCell="A4" workbookViewId="0">
      <selection activeCell="C18" sqref="C18"/>
    </sheetView>
  </sheetViews>
  <sheetFormatPr baseColWidth="10" defaultColWidth="11.44140625" defaultRowHeight="13.2" x14ac:dyDescent="0.25"/>
  <cols>
    <col min="1" max="1" width="25.109375" style="1" customWidth="1"/>
    <col min="2" max="2" width="15" style="1" customWidth="1"/>
    <col min="3" max="7" width="13.6640625" style="1" customWidth="1"/>
    <col min="8" max="14" width="9.109375" style="1" customWidth="1"/>
    <col min="15" max="26" width="11.44140625" style="1" customWidth="1"/>
    <col min="27" max="16384" width="11.44140625" style="1"/>
  </cols>
  <sheetData>
    <row r="1" spans="1:26" s="44" customFormat="1" ht="33" customHeight="1" x14ac:dyDescent="0.3">
      <c r="A1" s="393" t="s">
        <v>48</v>
      </c>
      <c r="B1" s="393"/>
      <c r="C1" s="393"/>
    </row>
    <row r="2" spans="1:26" ht="14.25" customHeight="1" x14ac:dyDescent="0.25"/>
    <row r="3" spans="1:26" ht="18" customHeight="1" x14ac:dyDescent="0.25">
      <c r="A3" s="507" t="s">
        <v>44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</row>
    <row r="4" spans="1:26" ht="18" customHeight="1" x14ac:dyDescent="0.25">
      <c r="A4" s="256"/>
      <c r="B4" s="508" t="s">
        <v>328</v>
      </c>
      <c r="C4" s="508"/>
      <c r="D4" s="508"/>
      <c r="E4" s="508"/>
      <c r="F4" s="508"/>
      <c r="G4" s="508"/>
      <c r="H4" s="508"/>
      <c r="I4" s="508"/>
      <c r="J4" s="508"/>
      <c r="K4" s="508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</row>
    <row r="5" spans="1:26" s="9" customFormat="1" ht="18" customHeight="1" x14ac:dyDescent="0.25">
      <c r="A5" s="257" t="s">
        <v>0</v>
      </c>
      <c r="B5" s="257" t="s">
        <v>231</v>
      </c>
      <c r="C5" s="10" t="s">
        <v>1</v>
      </c>
      <c r="D5" s="10" t="s">
        <v>2</v>
      </c>
      <c r="E5" s="10" t="s">
        <v>3</v>
      </c>
      <c r="F5" s="10" t="s">
        <v>4</v>
      </c>
      <c r="G5" s="10" t="s">
        <v>5</v>
      </c>
      <c r="H5" s="10" t="s">
        <v>6</v>
      </c>
      <c r="I5" s="10" t="s">
        <v>7</v>
      </c>
      <c r="J5" s="10" t="s">
        <v>8</v>
      </c>
      <c r="K5" s="10" t="s">
        <v>9</v>
      </c>
      <c r="L5" s="10" t="s">
        <v>10</v>
      </c>
      <c r="M5" s="10" t="s">
        <v>11</v>
      </c>
      <c r="N5" s="10" t="s">
        <v>12</v>
      </c>
      <c r="O5" s="10" t="s">
        <v>274</v>
      </c>
      <c r="P5" s="10" t="s">
        <v>275</v>
      </c>
      <c r="Q5" s="10" t="s">
        <v>276</v>
      </c>
      <c r="R5" s="10" t="s">
        <v>277</v>
      </c>
      <c r="S5" s="10" t="s">
        <v>278</v>
      </c>
      <c r="T5" s="10" t="s">
        <v>279</v>
      </c>
      <c r="U5" s="10" t="s">
        <v>280</v>
      </c>
      <c r="V5" s="10" t="s">
        <v>281</v>
      </c>
      <c r="W5" s="10" t="s">
        <v>282</v>
      </c>
      <c r="X5" s="10" t="s">
        <v>283</v>
      </c>
      <c r="Y5" s="10" t="s">
        <v>284</v>
      </c>
      <c r="Z5" s="10" t="s">
        <v>285</v>
      </c>
    </row>
    <row r="6" spans="1:26" ht="18" customHeight="1" x14ac:dyDescent="0.25">
      <c r="A6" s="533" t="s">
        <v>45</v>
      </c>
      <c r="B6" s="534"/>
      <c r="C6" s="534"/>
      <c r="D6" s="534"/>
      <c r="E6" s="534"/>
      <c r="F6" s="534"/>
      <c r="G6" s="534"/>
      <c r="H6" s="534"/>
      <c r="I6" s="534"/>
      <c r="J6" s="534"/>
      <c r="K6" s="534"/>
      <c r="L6" s="534"/>
      <c r="M6" s="534"/>
      <c r="N6" s="534"/>
      <c r="O6" s="529" t="s">
        <v>45</v>
      </c>
      <c r="P6" s="529"/>
      <c r="Q6" s="529"/>
      <c r="R6" s="529"/>
      <c r="S6" s="529"/>
      <c r="T6" s="529"/>
      <c r="U6" s="529"/>
      <c r="V6" s="529"/>
      <c r="W6" s="529"/>
      <c r="X6" s="529"/>
      <c r="Y6" s="529"/>
      <c r="Z6" s="529"/>
    </row>
    <row r="7" spans="1:26" ht="18" customHeight="1" x14ac:dyDescent="0.25">
      <c r="A7" s="3" t="s">
        <v>61</v>
      </c>
      <c r="B7" s="3"/>
      <c r="C7" s="15">
        <f>ProyecciónDeVentas!B8</f>
        <v>5610</v>
      </c>
      <c r="D7" s="15">
        <f>ProyecciónDeVentas!C8</f>
        <v>5100</v>
      </c>
      <c r="E7" s="15">
        <f>ProyecciónDeVentas!D8</f>
        <v>5610</v>
      </c>
      <c r="F7" s="15">
        <f>ProyecciónDeVentas!E8</f>
        <v>8415</v>
      </c>
      <c r="G7" s="15">
        <f>ProyecciónDeVentas!F8</f>
        <v>8032.5</v>
      </c>
      <c r="H7" s="15">
        <f>ProyecciónDeVentas!G8</f>
        <v>8415</v>
      </c>
      <c r="I7" s="15">
        <f>ProyecciónDeVentas!H8</f>
        <v>8797.5</v>
      </c>
      <c r="J7" s="15">
        <f>ProyecciónDeVentas!I8</f>
        <v>8032.5</v>
      </c>
      <c r="K7" s="15">
        <f>ProyecciónDeVentas!J8</f>
        <v>11220</v>
      </c>
      <c r="L7" s="15">
        <f>ProyecciónDeVentas!K8</f>
        <v>11220</v>
      </c>
      <c r="M7" s="15">
        <f>ProyecciónDeVentas!L8</f>
        <v>10710</v>
      </c>
      <c r="N7" s="15">
        <f>ProyecciónDeVentas!M8</f>
        <v>11730</v>
      </c>
      <c r="O7" s="15">
        <f>ProyecciónDeVentas!B27</f>
        <v>5890.5</v>
      </c>
      <c r="P7" s="15">
        <f>ProyecciónDeVentas!C27</f>
        <v>5355</v>
      </c>
      <c r="Q7" s="15">
        <f>ProyecciónDeVentas!D27</f>
        <v>5890.5</v>
      </c>
      <c r="R7" s="15">
        <f>ProyecciónDeVentas!E27</f>
        <v>8835.75</v>
      </c>
      <c r="S7" s="15">
        <f>ProyecciónDeVentas!F27</f>
        <v>8434.125</v>
      </c>
      <c r="T7" s="15">
        <f>ProyecciónDeVentas!G27</f>
        <v>8835.75</v>
      </c>
      <c r="U7" s="15">
        <f>ProyecciónDeVentas!H27</f>
        <v>9237.375</v>
      </c>
      <c r="V7" s="15">
        <f>ProyecciónDeVentas!I27</f>
        <v>8434.125</v>
      </c>
      <c r="W7" s="15">
        <f>ProyecciónDeVentas!J27</f>
        <v>11781</v>
      </c>
      <c r="X7" s="15">
        <f>ProyecciónDeVentas!K27</f>
        <v>11781</v>
      </c>
      <c r="Y7" s="15">
        <f>ProyecciónDeVentas!L27</f>
        <v>11245.5</v>
      </c>
      <c r="Z7" s="15">
        <f>ProyecciónDeVentas!M27</f>
        <v>12316.5</v>
      </c>
    </row>
    <row r="8" spans="1:26" ht="18" customHeight="1" x14ac:dyDescent="0.25">
      <c r="A8" s="3" t="s">
        <v>65</v>
      </c>
      <c r="B8" s="3"/>
      <c r="C8" s="15">
        <f>ProyecciónDeVentas!B12</f>
        <v>2860</v>
      </c>
      <c r="D8" s="15">
        <f>ProyecciónDeVentas!C12</f>
        <v>2600</v>
      </c>
      <c r="E8" s="15">
        <f>ProyecciónDeVentas!D12</f>
        <v>2860</v>
      </c>
      <c r="F8" s="15">
        <f>ProyecciónDeVentas!E12</f>
        <v>4290</v>
      </c>
      <c r="G8" s="15">
        <f>ProyecciónDeVentas!F12</f>
        <v>4095</v>
      </c>
      <c r="H8" s="15">
        <f>ProyecciónDeVentas!G12</f>
        <v>4290</v>
      </c>
      <c r="I8" s="15">
        <f>ProyecciónDeVentas!H12</f>
        <v>4485</v>
      </c>
      <c r="J8" s="15">
        <f>ProyecciónDeVentas!I12</f>
        <v>4095</v>
      </c>
      <c r="K8" s="15">
        <f>ProyecciónDeVentas!J12</f>
        <v>5720</v>
      </c>
      <c r="L8" s="15">
        <f>ProyecciónDeVentas!K12</f>
        <v>5720</v>
      </c>
      <c r="M8" s="15">
        <f>ProyecciónDeVentas!L12</f>
        <v>5460</v>
      </c>
      <c r="N8" s="15">
        <f>ProyecciónDeVentas!M12</f>
        <v>5980</v>
      </c>
      <c r="O8" s="15">
        <f>ProyecciónDeVentas!B31</f>
        <v>3003</v>
      </c>
      <c r="P8" s="15">
        <f>ProyecciónDeVentas!C31</f>
        <v>2730</v>
      </c>
      <c r="Q8" s="15">
        <f>ProyecciónDeVentas!D31</f>
        <v>3003</v>
      </c>
      <c r="R8" s="15">
        <f>ProyecciónDeVentas!E31</f>
        <v>4504.5</v>
      </c>
      <c r="S8" s="15">
        <f>ProyecciónDeVentas!F31</f>
        <v>4299.75</v>
      </c>
      <c r="T8" s="15">
        <f>ProyecciónDeVentas!G31</f>
        <v>4504.5</v>
      </c>
      <c r="U8" s="15">
        <f>ProyecciónDeVentas!H31</f>
        <v>4709.25</v>
      </c>
      <c r="V8" s="15">
        <f>ProyecciónDeVentas!I31</f>
        <v>4299.75</v>
      </c>
      <c r="W8" s="15">
        <f>ProyecciónDeVentas!J31</f>
        <v>6006</v>
      </c>
      <c r="X8" s="15">
        <f>ProyecciónDeVentas!K31</f>
        <v>6006</v>
      </c>
      <c r="Y8" s="15">
        <f>ProyecciónDeVentas!L31</f>
        <v>5733</v>
      </c>
      <c r="Z8" s="15">
        <f>ProyecciónDeVentas!M31</f>
        <v>6279</v>
      </c>
    </row>
    <row r="9" spans="1:26" ht="18" customHeight="1" x14ac:dyDescent="0.25">
      <c r="A9" s="3" t="s">
        <v>159</v>
      </c>
      <c r="B9" s="3"/>
      <c r="C9" s="15">
        <f>ProyecciónDeVentas!B16</f>
        <v>3375</v>
      </c>
      <c r="D9" s="15">
        <f>ProyecciónDeVentas!C16</f>
        <v>3000</v>
      </c>
      <c r="E9" s="15">
        <f>ProyecciónDeVentas!D16</f>
        <v>3375</v>
      </c>
      <c r="F9" s="15">
        <f>ProyecciónDeVentas!E16</f>
        <v>4800</v>
      </c>
      <c r="G9" s="15">
        <f>ProyecciónDeVentas!F16</f>
        <v>6000</v>
      </c>
      <c r="H9" s="15">
        <f>ProyecciónDeVentas!G16</f>
        <v>4800</v>
      </c>
      <c r="I9" s="15">
        <f>ProyecciónDeVentas!H16</f>
        <v>4800</v>
      </c>
      <c r="J9" s="15">
        <f>ProyecciónDeVentas!I16</f>
        <v>6000</v>
      </c>
      <c r="K9" s="15">
        <f>ProyecciónDeVentas!J16</f>
        <v>7200</v>
      </c>
      <c r="L9" s="15">
        <f>ProyecciónDeVentas!K16</f>
        <v>8100</v>
      </c>
      <c r="M9" s="15">
        <f>ProyecciónDeVentas!L16</f>
        <v>8100</v>
      </c>
      <c r="N9" s="15">
        <f>ProyecciónDeVentas!M16</f>
        <v>7200</v>
      </c>
      <c r="O9" s="15">
        <f>ProyecciónDeVentas!B35</f>
        <v>3543.75</v>
      </c>
      <c r="P9" s="15">
        <f>ProyecciónDeVentas!C35</f>
        <v>3150</v>
      </c>
      <c r="Q9" s="15">
        <f>ProyecciónDeVentas!D35</f>
        <v>3543.75</v>
      </c>
      <c r="R9" s="15">
        <f>ProyecciónDeVentas!E35</f>
        <v>5040</v>
      </c>
      <c r="S9" s="15">
        <f>ProyecciónDeVentas!F35</f>
        <v>6300</v>
      </c>
      <c r="T9" s="15">
        <f>ProyecciónDeVentas!G35</f>
        <v>5040</v>
      </c>
      <c r="U9" s="15">
        <f>ProyecciónDeVentas!H35</f>
        <v>5040</v>
      </c>
      <c r="V9" s="15">
        <f>ProyecciónDeVentas!I35</f>
        <v>6300</v>
      </c>
      <c r="W9" s="15">
        <f>ProyecciónDeVentas!J35</f>
        <v>7560</v>
      </c>
      <c r="X9" s="15">
        <f>ProyecciónDeVentas!K35</f>
        <v>8505</v>
      </c>
      <c r="Y9" s="15">
        <f>ProyecciónDeVentas!L35</f>
        <v>8505</v>
      </c>
      <c r="Z9" s="15">
        <f>ProyecciónDeVentas!M35</f>
        <v>7560</v>
      </c>
    </row>
    <row r="10" spans="1:26" ht="18" customHeight="1" x14ac:dyDescent="0.25">
      <c r="A10" s="3" t="s">
        <v>39</v>
      </c>
      <c r="B10" s="3"/>
      <c r="C10" s="15"/>
      <c r="D10" s="15"/>
      <c r="E10" s="15"/>
      <c r="F10" s="15"/>
      <c r="G10" s="15"/>
      <c r="H10" s="15">
        <v>300</v>
      </c>
      <c r="I10" s="15"/>
      <c r="J10" s="15"/>
      <c r="K10" s="15"/>
      <c r="L10" s="15"/>
      <c r="M10" s="15"/>
      <c r="N10" s="15">
        <v>500</v>
      </c>
      <c r="O10" s="312"/>
      <c r="P10" s="312"/>
      <c r="Q10" s="312"/>
      <c r="R10" s="312"/>
      <c r="S10" s="312"/>
      <c r="T10" s="312">
        <v>350</v>
      </c>
      <c r="U10" s="312"/>
      <c r="V10" s="312"/>
      <c r="W10" s="312"/>
      <c r="X10" s="312"/>
      <c r="Y10" s="312"/>
      <c r="Z10" s="312">
        <v>700</v>
      </c>
    </row>
    <row r="11" spans="1:26" ht="18" customHeight="1" x14ac:dyDescent="0.25">
      <c r="A11" s="277" t="s">
        <v>16</v>
      </c>
      <c r="B11" s="3"/>
      <c r="C11" s="278">
        <f>+SUM(C7:C10)</f>
        <v>11845</v>
      </c>
      <c r="D11" s="278">
        <f t="shared" ref="D11:Z11" si="0">+SUM(D7:D10)</f>
        <v>10700</v>
      </c>
      <c r="E11" s="278">
        <f t="shared" si="0"/>
        <v>11845</v>
      </c>
      <c r="F11" s="278">
        <f t="shared" si="0"/>
        <v>17505</v>
      </c>
      <c r="G11" s="278">
        <f t="shared" si="0"/>
        <v>18127.5</v>
      </c>
      <c r="H11" s="278">
        <f t="shared" si="0"/>
        <v>17805</v>
      </c>
      <c r="I11" s="278">
        <f t="shared" si="0"/>
        <v>18082.5</v>
      </c>
      <c r="J11" s="278">
        <f t="shared" si="0"/>
        <v>18127.5</v>
      </c>
      <c r="K11" s="278">
        <f t="shared" si="0"/>
        <v>24140</v>
      </c>
      <c r="L11" s="278">
        <f t="shared" si="0"/>
        <v>25040</v>
      </c>
      <c r="M11" s="278">
        <f t="shared" si="0"/>
        <v>24270</v>
      </c>
      <c r="N11" s="278">
        <f t="shared" si="0"/>
        <v>25410</v>
      </c>
      <c r="O11" s="278">
        <f t="shared" si="0"/>
        <v>12437.25</v>
      </c>
      <c r="P11" s="278">
        <f t="shared" si="0"/>
        <v>11235</v>
      </c>
      <c r="Q11" s="278">
        <f t="shared" si="0"/>
        <v>12437.25</v>
      </c>
      <c r="R11" s="278">
        <f t="shared" si="0"/>
        <v>18380.25</v>
      </c>
      <c r="S11" s="278">
        <f t="shared" si="0"/>
        <v>19033.875</v>
      </c>
      <c r="T11" s="278">
        <f t="shared" si="0"/>
        <v>18730.25</v>
      </c>
      <c r="U11" s="278">
        <f t="shared" si="0"/>
        <v>18986.625</v>
      </c>
      <c r="V11" s="278">
        <f t="shared" si="0"/>
        <v>19033.875</v>
      </c>
      <c r="W11" s="278">
        <f t="shared" si="0"/>
        <v>25347</v>
      </c>
      <c r="X11" s="278">
        <f t="shared" si="0"/>
        <v>26292</v>
      </c>
      <c r="Y11" s="278">
        <f t="shared" si="0"/>
        <v>25483.5</v>
      </c>
      <c r="Z11" s="278">
        <f t="shared" si="0"/>
        <v>26855.5</v>
      </c>
    </row>
    <row r="12" spans="1:26" ht="18" customHeight="1" x14ac:dyDescent="0.25">
      <c r="A12" s="533" t="s">
        <v>46</v>
      </c>
      <c r="B12" s="534"/>
      <c r="C12" s="534"/>
      <c r="D12" s="534"/>
      <c r="E12" s="534"/>
      <c r="F12" s="534"/>
      <c r="G12" s="534"/>
      <c r="H12" s="534"/>
      <c r="I12" s="534"/>
      <c r="J12" s="534"/>
      <c r="K12" s="534"/>
      <c r="L12" s="534"/>
      <c r="M12" s="534"/>
      <c r="N12" s="534"/>
      <c r="O12" s="529" t="s">
        <v>46</v>
      </c>
      <c r="P12" s="529"/>
      <c r="Q12" s="529"/>
      <c r="R12" s="529"/>
      <c r="S12" s="529"/>
      <c r="T12" s="529"/>
      <c r="U12" s="529"/>
      <c r="V12" s="529"/>
      <c r="W12" s="529"/>
      <c r="X12" s="529"/>
      <c r="Y12" s="529"/>
      <c r="Z12" s="529"/>
    </row>
    <row r="13" spans="1:26" ht="18" customHeight="1" x14ac:dyDescent="0.25">
      <c r="A13" s="280" t="s">
        <v>242</v>
      </c>
      <c r="B13" s="290">
        <f>Inversión!C98</f>
        <v>90146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279" t="s">
        <v>24</v>
      </c>
      <c r="B14" s="279"/>
      <c r="C14" s="15">
        <f>CostosDePersonal!$D$16</f>
        <v>1950</v>
      </c>
      <c r="D14" s="15">
        <f>CostosDePersonal!$D$16</f>
        <v>1950</v>
      </c>
      <c r="E14" s="15">
        <f>CostosDePersonal!$D$16</f>
        <v>1950</v>
      </c>
      <c r="F14" s="15">
        <f>CostosDePersonal!$D$16</f>
        <v>1950</v>
      </c>
      <c r="G14" s="15">
        <f>CostosDePersonal!$D$16</f>
        <v>1950</v>
      </c>
      <c r="H14" s="15">
        <f>CostosDePersonal!$D$16</f>
        <v>1950</v>
      </c>
      <c r="I14" s="15">
        <f>CostosDePersonal!$D$16</f>
        <v>1950</v>
      </c>
      <c r="J14" s="15">
        <f>CostosDePersonal!$D$16</f>
        <v>1950</v>
      </c>
      <c r="K14" s="15">
        <f>CostosDePersonal!$D$16</f>
        <v>1950</v>
      </c>
      <c r="L14" s="15">
        <f>CostosDePersonal!$D$16</f>
        <v>1950</v>
      </c>
      <c r="M14" s="15">
        <f>CostosDePersonal!$D$16</f>
        <v>1950</v>
      </c>
      <c r="N14" s="15">
        <f>CostosDePersonal!$D$16</f>
        <v>1950</v>
      </c>
      <c r="O14" s="15">
        <f>CostosDePersonal!$D$24</f>
        <v>3080</v>
      </c>
      <c r="P14" s="15">
        <f>CostosDePersonal!$D$24</f>
        <v>3080</v>
      </c>
      <c r="Q14" s="15">
        <f>CostosDePersonal!$D$24</f>
        <v>3080</v>
      </c>
      <c r="R14" s="15">
        <f>CostosDePersonal!$D$24</f>
        <v>3080</v>
      </c>
      <c r="S14" s="15">
        <f>CostosDePersonal!$D$24</f>
        <v>3080</v>
      </c>
      <c r="T14" s="15">
        <f>CostosDePersonal!$D$24</f>
        <v>3080</v>
      </c>
      <c r="U14" s="15">
        <f>CostosDePersonal!$D$24</f>
        <v>3080</v>
      </c>
      <c r="V14" s="15">
        <f>CostosDePersonal!$D$24</f>
        <v>3080</v>
      </c>
      <c r="W14" s="15">
        <f>CostosDePersonal!$D$24</f>
        <v>3080</v>
      </c>
      <c r="X14" s="15">
        <f>CostosDePersonal!$D$24</f>
        <v>3080</v>
      </c>
      <c r="Y14" s="15">
        <f>CostosDePersonal!$D$24</f>
        <v>3080</v>
      </c>
      <c r="Z14" s="15">
        <f>CostosDePersonal!$D$24</f>
        <v>3080</v>
      </c>
    </row>
    <row r="15" spans="1:26" ht="18" customHeight="1" x14ac:dyDescent="0.25">
      <c r="A15" s="279" t="s">
        <v>258</v>
      </c>
      <c r="B15" s="279"/>
      <c r="C15" s="15">
        <f>'Costo M. Prima'!B8</f>
        <v>6768.5</v>
      </c>
      <c r="D15" s="15">
        <f>'Costo M. Prima'!C8</f>
        <v>6120</v>
      </c>
      <c r="E15" s="15">
        <f>'Costo M. Prima'!D8</f>
        <v>6768.5</v>
      </c>
      <c r="F15" s="15">
        <f>'Costo M. Prima'!E8</f>
        <v>10025</v>
      </c>
      <c r="G15" s="15">
        <f>'Costo M. Prima'!F8</f>
        <v>10259.5</v>
      </c>
      <c r="H15" s="15">
        <f>'Costo M. Prima'!G8</f>
        <v>10025</v>
      </c>
      <c r="I15" s="15">
        <f>'Costo M. Prima'!H8</f>
        <v>10374.5</v>
      </c>
      <c r="J15" s="15">
        <f>'Costo M. Prima'!I8</f>
        <v>10259.5</v>
      </c>
      <c r="K15" s="15">
        <f>'Costo M. Prima'!J8</f>
        <v>13756</v>
      </c>
      <c r="L15" s="15">
        <f>'Costo M. Prima'!K8</f>
        <v>14194</v>
      </c>
      <c r="M15" s="15">
        <f>'Costo M. Prima'!L8</f>
        <v>13728</v>
      </c>
      <c r="N15" s="15">
        <f>'Costo M. Prima'!M8</f>
        <v>14222</v>
      </c>
      <c r="O15" s="15">
        <f>'Costo M. Prima'!B9</f>
        <v>6218.625</v>
      </c>
      <c r="P15" s="15">
        <f>'Costo M. Prima'!C9</f>
        <v>5617.5</v>
      </c>
      <c r="Q15" s="15">
        <f>'Costo M. Prima'!D9</f>
        <v>6218.625</v>
      </c>
      <c r="R15" s="15">
        <f>'Costo M. Prima'!E9</f>
        <v>9190.125</v>
      </c>
      <c r="S15" s="15">
        <f>'Costo M. Prima'!F9</f>
        <v>9516.9375</v>
      </c>
      <c r="T15" s="15">
        <f>'Costo M. Prima'!G9</f>
        <v>9190.125</v>
      </c>
      <c r="U15" s="15">
        <f>'Costo M. Prima'!H9</f>
        <v>9493.3125</v>
      </c>
      <c r="V15" s="15">
        <f>'Costo M. Prima'!I9</f>
        <v>9516.9375</v>
      </c>
      <c r="W15" s="15">
        <f>'Costo M. Prima'!J9</f>
        <v>12673.5</v>
      </c>
      <c r="X15" s="15">
        <f>'Costo M. Prima'!K9</f>
        <v>13146</v>
      </c>
      <c r="Y15" s="15">
        <f>'Costo M. Prima'!L9</f>
        <v>12741.75</v>
      </c>
      <c r="Z15" s="15">
        <f>'Costo M. Prima'!M9</f>
        <v>13077.75</v>
      </c>
    </row>
    <row r="16" spans="1:26" ht="18" customHeight="1" x14ac:dyDescent="0.25">
      <c r="A16" s="280" t="s">
        <v>324</v>
      </c>
      <c r="B16" s="279"/>
      <c r="C16" s="15">
        <f>PlanDeEgresos!B10</f>
        <v>2055</v>
      </c>
      <c r="D16" s="15">
        <f>PlanDeEgresos!C10</f>
        <v>2055</v>
      </c>
      <c r="E16" s="15">
        <f>PlanDeEgresos!D10</f>
        <v>2055</v>
      </c>
      <c r="F16" s="15">
        <f>PlanDeEgresos!E10</f>
        <v>2055</v>
      </c>
      <c r="G16" s="15">
        <f>PlanDeEgresos!F10</f>
        <v>2055</v>
      </c>
      <c r="H16" s="15">
        <f>PlanDeEgresos!G10</f>
        <v>2055</v>
      </c>
      <c r="I16" s="15">
        <f>PlanDeEgresos!H10</f>
        <v>2055</v>
      </c>
      <c r="J16" s="15">
        <f>PlanDeEgresos!I10</f>
        <v>2055</v>
      </c>
      <c r="K16" s="15">
        <f>PlanDeEgresos!J10</f>
        <v>2055</v>
      </c>
      <c r="L16" s="15">
        <f>PlanDeEgresos!K10</f>
        <v>2055</v>
      </c>
      <c r="M16" s="15">
        <f>PlanDeEgresos!L10</f>
        <v>2055</v>
      </c>
      <c r="N16" s="15">
        <f>PlanDeEgresos!$M$10</f>
        <v>2055</v>
      </c>
      <c r="O16" s="15">
        <f>PlanDeEgresos!$M$10</f>
        <v>2055</v>
      </c>
      <c r="P16" s="15">
        <f>PlanDeEgresos!$M$10</f>
        <v>2055</v>
      </c>
      <c r="Q16" s="15">
        <f>PlanDeEgresos!$M$10</f>
        <v>2055</v>
      </c>
      <c r="R16" s="15">
        <f>PlanDeEgresos!$M$10</f>
        <v>2055</v>
      </c>
      <c r="S16" s="15">
        <f>PlanDeEgresos!$M$10</f>
        <v>2055</v>
      </c>
      <c r="T16" s="15">
        <f>PlanDeEgresos!$M$10</f>
        <v>2055</v>
      </c>
      <c r="U16" s="15">
        <f>PlanDeEgresos!$M$10</f>
        <v>2055</v>
      </c>
      <c r="V16" s="15">
        <f>PlanDeEgresos!$M$10</f>
        <v>2055</v>
      </c>
      <c r="W16" s="15">
        <f>PlanDeEgresos!$M$10</f>
        <v>2055</v>
      </c>
      <c r="X16" s="15">
        <f>PlanDeEgresos!$M$10</f>
        <v>2055</v>
      </c>
      <c r="Y16" s="15">
        <f>PlanDeEgresos!$M$10</f>
        <v>2055</v>
      </c>
      <c r="Z16" s="15">
        <f>PlanDeEgresos!$M$10</f>
        <v>2055</v>
      </c>
    </row>
    <row r="17" spans="1:26" ht="18" customHeight="1" x14ac:dyDescent="0.25">
      <c r="A17" s="277" t="s">
        <v>47</v>
      </c>
      <c r="B17" s="292">
        <f>B13</f>
        <v>90146</v>
      </c>
      <c r="C17" s="278">
        <f t="shared" ref="C17:Z17" si="1">+SUM(C14:C16)</f>
        <v>10773.5</v>
      </c>
      <c r="D17" s="278">
        <f t="shared" si="1"/>
        <v>10125</v>
      </c>
      <c r="E17" s="278">
        <f t="shared" si="1"/>
        <v>10773.5</v>
      </c>
      <c r="F17" s="278">
        <f t="shared" si="1"/>
        <v>14030</v>
      </c>
      <c r="G17" s="278">
        <f t="shared" si="1"/>
        <v>14264.5</v>
      </c>
      <c r="H17" s="278">
        <f t="shared" si="1"/>
        <v>14030</v>
      </c>
      <c r="I17" s="278">
        <f t="shared" si="1"/>
        <v>14379.5</v>
      </c>
      <c r="J17" s="278">
        <f t="shared" si="1"/>
        <v>14264.5</v>
      </c>
      <c r="K17" s="278">
        <f t="shared" si="1"/>
        <v>17761</v>
      </c>
      <c r="L17" s="278">
        <f t="shared" si="1"/>
        <v>18199</v>
      </c>
      <c r="M17" s="278">
        <f t="shared" si="1"/>
        <v>17733</v>
      </c>
      <c r="N17" s="278">
        <f t="shared" si="1"/>
        <v>18227</v>
      </c>
      <c r="O17" s="278">
        <f t="shared" si="1"/>
        <v>11353.625</v>
      </c>
      <c r="P17" s="278">
        <f t="shared" si="1"/>
        <v>10752.5</v>
      </c>
      <c r="Q17" s="278">
        <f t="shared" si="1"/>
        <v>11353.625</v>
      </c>
      <c r="R17" s="278">
        <f t="shared" si="1"/>
        <v>14325.125</v>
      </c>
      <c r="S17" s="278">
        <f t="shared" si="1"/>
        <v>14651.9375</v>
      </c>
      <c r="T17" s="278">
        <f t="shared" si="1"/>
        <v>14325.125</v>
      </c>
      <c r="U17" s="278">
        <f t="shared" si="1"/>
        <v>14628.3125</v>
      </c>
      <c r="V17" s="278">
        <f t="shared" si="1"/>
        <v>14651.9375</v>
      </c>
      <c r="W17" s="278">
        <f t="shared" si="1"/>
        <v>17808.5</v>
      </c>
      <c r="X17" s="278">
        <f t="shared" si="1"/>
        <v>18281</v>
      </c>
      <c r="Y17" s="278">
        <f t="shared" si="1"/>
        <v>17876.75</v>
      </c>
      <c r="Z17" s="278">
        <f t="shared" si="1"/>
        <v>18212.75</v>
      </c>
    </row>
    <row r="18" spans="1:26" ht="18" customHeight="1" x14ac:dyDescent="0.25">
      <c r="A18" s="289" t="s">
        <v>326</v>
      </c>
      <c r="B18" s="293">
        <f t="shared" ref="B18:Z18" si="2">B11-B17</f>
        <v>-90146</v>
      </c>
      <c r="C18" s="293">
        <f t="shared" si="2"/>
        <v>1071.5</v>
      </c>
      <c r="D18" s="293">
        <f t="shared" si="2"/>
        <v>575</v>
      </c>
      <c r="E18" s="293">
        <f t="shared" si="2"/>
        <v>1071.5</v>
      </c>
      <c r="F18" s="293">
        <f t="shared" si="2"/>
        <v>3475</v>
      </c>
      <c r="G18" s="293">
        <f t="shared" si="2"/>
        <v>3863</v>
      </c>
      <c r="H18" s="293">
        <f t="shared" si="2"/>
        <v>3775</v>
      </c>
      <c r="I18" s="293">
        <f t="shared" si="2"/>
        <v>3703</v>
      </c>
      <c r="J18" s="293">
        <f t="shared" si="2"/>
        <v>3863</v>
      </c>
      <c r="K18" s="293">
        <f t="shared" si="2"/>
        <v>6379</v>
      </c>
      <c r="L18" s="293">
        <f t="shared" si="2"/>
        <v>6841</v>
      </c>
      <c r="M18" s="293">
        <f t="shared" si="2"/>
        <v>6537</v>
      </c>
      <c r="N18" s="293">
        <f t="shared" si="2"/>
        <v>7183</v>
      </c>
      <c r="O18" s="293">
        <f t="shared" si="2"/>
        <v>1083.625</v>
      </c>
      <c r="P18" s="293">
        <f t="shared" si="2"/>
        <v>482.5</v>
      </c>
      <c r="Q18" s="293">
        <f t="shared" si="2"/>
        <v>1083.625</v>
      </c>
      <c r="R18" s="293">
        <f t="shared" si="2"/>
        <v>4055.125</v>
      </c>
      <c r="S18" s="293">
        <f t="shared" si="2"/>
        <v>4381.9375</v>
      </c>
      <c r="T18" s="293">
        <f t="shared" si="2"/>
        <v>4405.125</v>
      </c>
      <c r="U18" s="293">
        <f t="shared" si="2"/>
        <v>4358.3125</v>
      </c>
      <c r="V18" s="293">
        <f t="shared" si="2"/>
        <v>4381.9375</v>
      </c>
      <c r="W18" s="293">
        <f t="shared" si="2"/>
        <v>7538.5</v>
      </c>
      <c r="X18" s="293">
        <f t="shared" si="2"/>
        <v>8011</v>
      </c>
      <c r="Y18" s="293">
        <f t="shared" si="2"/>
        <v>7606.75</v>
      </c>
      <c r="Z18" s="293">
        <f t="shared" si="2"/>
        <v>8642.75</v>
      </c>
    </row>
    <row r="19" spans="1:26" s="67" customFormat="1" ht="18" customHeight="1" x14ac:dyDescent="0.25">
      <c r="A19" s="295" t="s">
        <v>143</v>
      </c>
      <c r="B19" s="294">
        <f>EsquemaFinanciero!B5</f>
        <v>11000</v>
      </c>
      <c r="C19" s="294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79"/>
      <c r="P19" s="279"/>
      <c r="Q19" s="279"/>
      <c r="R19" s="279"/>
      <c r="S19" s="279"/>
      <c r="T19" s="279"/>
      <c r="U19" s="279"/>
      <c r="V19" s="279"/>
      <c r="W19" s="279"/>
      <c r="X19" s="279"/>
      <c r="Y19" s="279"/>
      <c r="Z19" s="279"/>
    </row>
    <row r="20" spans="1:26" s="67" customFormat="1" ht="18" customHeight="1" x14ac:dyDescent="0.25">
      <c r="A20" s="295" t="s">
        <v>232</v>
      </c>
      <c r="B20" s="294"/>
      <c r="C20" s="294">
        <f>EsquemaFinanciero!B40</f>
        <v>775.08294020259382</v>
      </c>
      <c r="D20" s="294">
        <f>EsquemaFinanciero!C40</f>
        <v>798.33542840867165</v>
      </c>
      <c r="E20" s="294">
        <f>EsquemaFinanciero!D40</f>
        <v>822.28549126093185</v>
      </c>
      <c r="F20" s="294">
        <f>EsquemaFinanciero!E40</f>
        <v>846.95405599875971</v>
      </c>
      <c r="G20" s="294">
        <f>EsquemaFinanciero!F40</f>
        <v>872.36267767872255</v>
      </c>
      <c r="H20" s="294">
        <f>EsquemaFinanciero!G40</f>
        <v>898.53355800908412</v>
      </c>
      <c r="I20" s="294">
        <f>EsquemaFinanciero!H40</f>
        <v>925.48956474935665</v>
      </c>
      <c r="J20" s="294">
        <f>EsquemaFinanciero!I40</f>
        <v>953.25425169183745</v>
      </c>
      <c r="K20" s="294">
        <f>EsquemaFinanciero!J40</f>
        <v>981.85187924259253</v>
      </c>
      <c r="L20" s="294">
        <f>EsquemaFinanciero!K40</f>
        <v>1011.3074356198703</v>
      </c>
      <c r="M20" s="294">
        <f>EsquemaFinanciero!L40</f>
        <v>1041.6466586884665</v>
      </c>
      <c r="N20" s="294">
        <f>EsquemaFinanciero!M40</f>
        <v>1072.8960584491203</v>
      </c>
      <c r="O20" s="279">
        <v>0</v>
      </c>
      <c r="P20" s="279">
        <v>0</v>
      </c>
      <c r="Q20" s="279">
        <v>0</v>
      </c>
      <c r="R20" s="279">
        <v>0</v>
      </c>
      <c r="S20" s="279">
        <v>0</v>
      </c>
      <c r="T20" s="279">
        <v>0</v>
      </c>
      <c r="U20" s="279">
        <v>0</v>
      </c>
      <c r="V20" s="279">
        <v>0</v>
      </c>
      <c r="W20" s="279">
        <v>0</v>
      </c>
      <c r="X20" s="279">
        <v>0</v>
      </c>
      <c r="Y20" s="279">
        <v>0</v>
      </c>
      <c r="Z20" s="279">
        <v>0</v>
      </c>
    </row>
    <row r="21" spans="1:26" s="67" customFormat="1" ht="18" customHeight="1" x14ac:dyDescent="0.25">
      <c r="A21" s="295" t="s">
        <v>305</v>
      </c>
      <c r="B21" s="294"/>
      <c r="C21" s="294">
        <f>EsquemaFinanciero!B39</f>
        <v>330</v>
      </c>
      <c r="D21" s="294">
        <f>EsquemaFinanciero!C39</f>
        <v>306.74751179392217</v>
      </c>
      <c r="E21" s="294">
        <f>EsquemaFinanciero!D39</f>
        <v>282.79744894166203</v>
      </c>
      <c r="F21" s="294">
        <f>EsquemaFinanciero!E39</f>
        <v>258.1288842038341</v>
      </c>
      <c r="G21" s="294">
        <f>EsquemaFinanciero!F39</f>
        <v>232.72026252387133</v>
      </c>
      <c r="H21" s="294">
        <f>EsquemaFinanciero!G39</f>
        <v>206.54938219350964</v>
      </c>
      <c r="I21" s="294">
        <f>EsquemaFinanciero!H39</f>
        <v>179.59337545323714</v>
      </c>
      <c r="J21" s="294">
        <f>EsquemaFinanciero!I39</f>
        <v>151.82868851075642</v>
      </c>
      <c r="K21" s="294">
        <f>EsquemaFinanciero!J39</f>
        <v>123.23106096000132</v>
      </c>
      <c r="L21" s="294">
        <f>EsquemaFinanciero!K39</f>
        <v>93.775504582723528</v>
      </c>
      <c r="M21" s="294">
        <f>EsquemaFinanciero!L39</f>
        <v>63.436281514127423</v>
      </c>
      <c r="N21" s="294">
        <f>EsquemaFinanciero!M39</f>
        <v>32.186881753473429</v>
      </c>
      <c r="O21" s="279">
        <v>0</v>
      </c>
      <c r="P21" s="279">
        <v>0</v>
      </c>
      <c r="Q21" s="279">
        <v>0</v>
      </c>
      <c r="R21" s="279">
        <v>0</v>
      </c>
      <c r="S21" s="279">
        <v>0</v>
      </c>
      <c r="T21" s="279">
        <v>0</v>
      </c>
      <c r="U21" s="279">
        <v>0</v>
      </c>
      <c r="V21" s="279">
        <v>0</v>
      </c>
      <c r="W21" s="279">
        <v>0</v>
      </c>
      <c r="X21" s="279">
        <v>0</v>
      </c>
      <c r="Y21" s="279">
        <v>0</v>
      </c>
      <c r="Z21" s="279">
        <v>0</v>
      </c>
    </row>
    <row r="22" spans="1:26" s="67" customFormat="1" ht="18" customHeight="1" x14ac:dyDescent="0.25">
      <c r="A22" s="289" t="s">
        <v>327</v>
      </c>
      <c r="B22" s="293">
        <f>B18+B19</f>
        <v>-79146</v>
      </c>
      <c r="C22" s="293">
        <f>C18-C20-C21</f>
        <v>-33.582940202593818</v>
      </c>
      <c r="D22" s="293">
        <f t="shared" ref="D22:Z22" si="3">D18-D20-D21</f>
        <v>-530.08294020259382</v>
      </c>
      <c r="E22" s="293">
        <f t="shared" si="3"/>
        <v>-33.582940202593875</v>
      </c>
      <c r="F22" s="293">
        <f t="shared" si="3"/>
        <v>2369.9170597974062</v>
      </c>
      <c r="G22" s="293">
        <f t="shared" si="3"/>
        <v>2757.9170597974062</v>
      </c>
      <c r="H22" s="293">
        <f t="shared" si="3"/>
        <v>2669.9170597974062</v>
      </c>
      <c r="I22" s="293">
        <f t="shared" si="3"/>
        <v>2597.9170597974062</v>
      </c>
      <c r="J22" s="293">
        <f t="shared" si="3"/>
        <v>2757.9170597974062</v>
      </c>
      <c r="K22" s="293">
        <f t="shared" si="3"/>
        <v>5273.9170597974053</v>
      </c>
      <c r="L22" s="293">
        <f t="shared" si="3"/>
        <v>5735.9170597974062</v>
      </c>
      <c r="M22" s="293">
        <f t="shared" si="3"/>
        <v>5431.9170597974062</v>
      </c>
      <c r="N22" s="293">
        <f t="shared" si="3"/>
        <v>6077.9170597974062</v>
      </c>
      <c r="O22" s="293">
        <f t="shared" si="3"/>
        <v>1083.625</v>
      </c>
      <c r="P22" s="293">
        <f t="shared" si="3"/>
        <v>482.5</v>
      </c>
      <c r="Q22" s="293">
        <f t="shared" si="3"/>
        <v>1083.625</v>
      </c>
      <c r="R22" s="293">
        <f t="shared" si="3"/>
        <v>4055.125</v>
      </c>
      <c r="S22" s="293">
        <f t="shared" si="3"/>
        <v>4381.9375</v>
      </c>
      <c r="T22" s="293">
        <f t="shared" si="3"/>
        <v>4405.125</v>
      </c>
      <c r="U22" s="293">
        <f t="shared" si="3"/>
        <v>4358.3125</v>
      </c>
      <c r="V22" s="293">
        <f t="shared" si="3"/>
        <v>4381.9375</v>
      </c>
      <c r="W22" s="293">
        <f t="shared" si="3"/>
        <v>7538.5</v>
      </c>
      <c r="X22" s="293">
        <f t="shared" si="3"/>
        <v>8011</v>
      </c>
      <c r="Y22" s="293">
        <f t="shared" si="3"/>
        <v>7606.75</v>
      </c>
      <c r="Z22" s="293">
        <f t="shared" si="3"/>
        <v>8642.75</v>
      </c>
    </row>
    <row r="23" spans="1:26" ht="18" customHeight="1" x14ac:dyDescent="0.25">
      <c r="A23" s="3" t="s">
        <v>306</v>
      </c>
      <c r="B23" s="291">
        <f>EsquemaFinanciero!B4</f>
        <v>79146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" customHeight="1" x14ac:dyDescent="0.25">
      <c r="A24" s="3" t="s">
        <v>307</v>
      </c>
      <c r="B24" s="3"/>
      <c r="C24" s="15">
        <f>C22</f>
        <v>-33.582940202593818</v>
      </c>
      <c r="D24" s="15">
        <f>C24+D22</f>
        <v>-563.66588040518764</v>
      </c>
      <c r="E24" s="15">
        <f t="shared" ref="E24:L24" si="4">D24+E22</f>
        <v>-597.24882060778145</v>
      </c>
      <c r="F24" s="15">
        <f t="shared" si="4"/>
        <v>1772.6682391896247</v>
      </c>
      <c r="G24" s="15">
        <f t="shared" si="4"/>
        <v>4530.5852989870309</v>
      </c>
      <c r="H24" s="15">
        <f t="shared" si="4"/>
        <v>7200.5023587844371</v>
      </c>
      <c r="I24" s="15">
        <f t="shared" si="4"/>
        <v>9798.4194185818433</v>
      </c>
      <c r="J24" s="15">
        <f t="shared" si="4"/>
        <v>12556.336478379249</v>
      </c>
      <c r="K24" s="15">
        <f t="shared" si="4"/>
        <v>17830.253538176654</v>
      </c>
      <c r="L24" s="15">
        <f t="shared" si="4"/>
        <v>23566.170597974058</v>
      </c>
      <c r="M24" s="15">
        <f>L24+M22</f>
        <v>28998.087657771466</v>
      </c>
      <c r="N24" s="15">
        <f>M24+N22</f>
        <v>35076.004717568874</v>
      </c>
      <c r="O24" s="15">
        <f t="shared" ref="O24" si="5">N24+O22</f>
        <v>36159.629717568874</v>
      </c>
      <c r="P24" s="15">
        <f t="shared" ref="P24" si="6">O24+P22</f>
        <v>36642.129717568874</v>
      </c>
      <c r="Q24" s="15">
        <f t="shared" ref="Q24" si="7">P24+Q22</f>
        <v>37725.754717568874</v>
      </c>
      <c r="R24" s="15">
        <f t="shared" ref="R24" si="8">Q24+R22</f>
        <v>41780.879717568874</v>
      </c>
      <c r="S24" s="15">
        <f t="shared" ref="S24" si="9">R24+S22</f>
        <v>46162.817217568874</v>
      </c>
      <c r="T24" s="15">
        <f t="shared" ref="T24" si="10">S24+T22</f>
        <v>50567.942217568874</v>
      </c>
      <c r="U24" s="15">
        <f t="shared" ref="U24" si="11">T24+U22</f>
        <v>54926.254717568874</v>
      </c>
      <c r="V24" s="15">
        <f t="shared" ref="V24" si="12">U24+V22</f>
        <v>59308.192217568874</v>
      </c>
      <c r="W24" s="15">
        <f t="shared" ref="W24" si="13">V24+W22</f>
        <v>66846.692217568867</v>
      </c>
      <c r="X24" s="15">
        <f t="shared" ref="X24" si="14">W24+X22</f>
        <v>74857.692217568867</v>
      </c>
      <c r="Y24" s="15">
        <f t="shared" ref="Y24" si="15">X24+Y22</f>
        <v>82464.442217568867</v>
      </c>
      <c r="Z24" s="15">
        <f t="shared" ref="Z24" si="16">Y24+Z22</f>
        <v>91107.192217568867</v>
      </c>
    </row>
    <row r="25" spans="1:26" ht="17.25" customHeight="1" x14ac:dyDescent="0.25">
      <c r="B25" s="146"/>
    </row>
    <row r="26" spans="1:26" ht="17.25" customHeight="1" x14ac:dyDescent="0.25">
      <c r="A26" s="393" t="s">
        <v>425</v>
      </c>
      <c r="B26" s="146"/>
    </row>
    <row r="27" spans="1:26" ht="17.25" customHeight="1" x14ac:dyDescent="0.25"/>
    <row r="28" spans="1:26" ht="17.25" customHeight="1" x14ac:dyDescent="0.25">
      <c r="A28" s="289" t="s">
        <v>0</v>
      </c>
      <c r="B28" s="366" t="s">
        <v>383</v>
      </c>
      <c r="C28" s="366" t="s">
        <v>253</v>
      </c>
      <c r="D28" s="366" t="s">
        <v>254</v>
      </c>
      <c r="E28" s="366" t="s">
        <v>255</v>
      </c>
      <c r="F28" s="366" t="s">
        <v>256</v>
      </c>
      <c r="G28" s="366" t="s">
        <v>257</v>
      </c>
      <c r="H28" s="126"/>
    </row>
    <row r="29" spans="1:26" ht="17.25" customHeight="1" x14ac:dyDescent="0.25">
      <c r="A29" s="378" t="s">
        <v>16</v>
      </c>
      <c r="B29" s="7"/>
      <c r="C29" s="374">
        <f>SUM(C11:N11)</f>
        <v>222897.5</v>
      </c>
      <c r="D29" s="374">
        <f>ProyecciónDeVentas!N41</f>
        <v>233202.375</v>
      </c>
      <c r="E29" s="374">
        <f>ProyecciónDeVentas!N42</f>
        <v>256522.61250000005</v>
      </c>
      <c r="F29" s="374">
        <f>ProyecciónDeVentas!N43</f>
        <v>295001.00437499996</v>
      </c>
      <c r="G29" s="374">
        <f>ProyecciónDeVentas!N44</f>
        <v>354001.20525</v>
      </c>
    </row>
    <row r="30" spans="1:26" ht="17.25" customHeight="1" x14ac:dyDescent="0.25">
      <c r="A30" s="48" t="s">
        <v>242</v>
      </c>
      <c r="B30" s="291">
        <f>B17</f>
        <v>90146</v>
      </c>
      <c r="C30" s="3"/>
      <c r="D30" s="3"/>
      <c r="E30" s="3"/>
      <c r="F30" s="3"/>
      <c r="G30" s="3"/>
    </row>
    <row r="31" spans="1:26" ht="17.25" customHeight="1" x14ac:dyDescent="0.25">
      <c r="A31" s="48" t="s">
        <v>385</v>
      </c>
      <c r="B31" s="291"/>
      <c r="C31" s="305">
        <f>SUM(C14:N14)</f>
        <v>23400</v>
      </c>
      <c r="D31" s="305">
        <f>SUM(O14:Z14)</f>
        <v>36960</v>
      </c>
      <c r="E31" s="305">
        <f>+D31</f>
        <v>36960</v>
      </c>
      <c r="F31" s="305">
        <f t="shared" ref="F31:G31" si="17">+E31</f>
        <v>36960</v>
      </c>
      <c r="G31" s="305">
        <f t="shared" si="17"/>
        <v>36960</v>
      </c>
    </row>
    <row r="32" spans="1:26" ht="17.25" customHeight="1" x14ac:dyDescent="0.25">
      <c r="A32" s="48" t="s">
        <v>384</v>
      </c>
      <c r="B32" s="291"/>
      <c r="C32" s="305">
        <f>SUM(C15:N15)</f>
        <v>126500.5</v>
      </c>
      <c r="D32" s="305">
        <f>SUM(O15:Z15)</f>
        <v>116601.1875</v>
      </c>
      <c r="E32" s="305">
        <f>'Costo M. Prima'!N10</f>
        <v>128261.30625000002</v>
      </c>
      <c r="F32" s="305">
        <f>'Costo M. Prima'!N11</f>
        <v>147500.50218749998</v>
      </c>
      <c r="G32" s="305">
        <f>'Costo M. Prima'!N12</f>
        <v>177000.602625</v>
      </c>
    </row>
    <row r="33" spans="1:16" ht="17.25" customHeight="1" x14ac:dyDescent="0.25">
      <c r="A33" s="48" t="s">
        <v>324</v>
      </c>
      <c r="B33" s="291"/>
      <c r="C33" s="305">
        <f>'Otros Costos'!D11</f>
        <v>24660</v>
      </c>
      <c r="D33" s="305">
        <f>'Otros Costos'!E11</f>
        <v>24906.6</v>
      </c>
      <c r="E33" s="305">
        <f>'Otros Costos'!F11</f>
        <v>25155.665999999997</v>
      </c>
      <c r="F33" s="305">
        <f>'Otros Costos'!G11</f>
        <v>25407.222659999999</v>
      </c>
      <c r="G33" s="305">
        <f>'Otros Costos'!H11</f>
        <v>25661.294886600001</v>
      </c>
    </row>
    <row r="34" spans="1:16" ht="17.25" customHeight="1" x14ac:dyDescent="0.25">
      <c r="A34" s="378" t="s">
        <v>47</v>
      </c>
      <c r="B34" s="292">
        <f>SUM(B30:B33)</f>
        <v>90146</v>
      </c>
      <c r="C34" s="374">
        <f>SUM(C31:C33)</f>
        <v>174560.5</v>
      </c>
      <c r="D34" s="374">
        <f t="shared" ref="D34" si="18">SUM(D31:D33)</f>
        <v>178467.78750000001</v>
      </c>
      <c r="E34" s="374">
        <f>SUM(E31:E33)</f>
        <v>190376.97225000002</v>
      </c>
      <c r="F34" s="374">
        <f>SUM(F31:F33)</f>
        <v>209867.72484749998</v>
      </c>
      <c r="G34" s="374">
        <f>SUM(G31:G33)</f>
        <v>239621.89751159999</v>
      </c>
    </row>
    <row r="35" spans="1:16" ht="17.25" customHeight="1" x14ac:dyDescent="0.25">
      <c r="A35" s="443" t="s">
        <v>326</v>
      </c>
      <c r="B35" s="444">
        <f>B29-B34</f>
        <v>-90146</v>
      </c>
      <c r="C35" s="444">
        <f>C29-C34</f>
        <v>48337</v>
      </c>
      <c r="D35" s="444">
        <f t="shared" ref="D35:G35" si="19">D29-D34</f>
        <v>54734.587499999994</v>
      </c>
      <c r="E35" s="444">
        <f t="shared" si="19"/>
        <v>66145.640250000026</v>
      </c>
      <c r="F35" s="444">
        <f t="shared" si="19"/>
        <v>85133.279527499981</v>
      </c>
      <c r="G35" s="444">
        <f t="shared" si="19"/>
        <v>114379.30773840001</v>
      </c>
    </row>
    <row r="36" spans="1:16" ht="17.25" customHeight="1" x14ac:dyDescent="0.25">
      <c r="A36" s="441" t="s">
        <v>143</v>
      </c>
      <c r="B36" s="442">
        <f>B19</f>
        <v>11000</v>
      </c>
      <c r="C36" s="279"/>
      <c r="D36" s="279"/>
      <c r="E36" s="279"/>
      <c r="F36" s="279"/>
      <c r="G36" s="279"/>
    </row>
    <row r="37" spans="1:16" ht="17.25" customHeight="1" x14ac:dyDescent="0.25">
      <c r="A37" s="441" t="s">
        <v>148</v>
      </c>
      <c r="B37" s="442"/>
      <c r="C37" s="442">
        <f>EsquemaFinanciero!D37</f>
        <v>13260.995282431126</v>
      </c>
      <c r="D37" s="442">
        <f>$C$37</f>
        <v>13260.995282431126</v>
      </c>
      <c r="E37" s="442">
        <f t="shared" ref="E37:G37" si="20">$C$37</f>
        <v>13260.995282431126</v>
      </c>
      <c r="F37" s="442">
        <f t="shared" si="20"/>
        <v>13260.995282431126</v>
      </c>
      <c r="G37" s="442">
        <f t="shared" si="20"/>
        <v>13260.995282431126</v>
      </c>
      <c r="H37" s="375"/>
      <c r="I37" s="375"/>
      <c r="J37" s="375"/>
      <c r="K37" s="375"/>
      <c r="L37" s="375"/>
      <c r="M37" s="375"/>
      <c r="N37" s="375"/>
      <c r="O37" s="375"/>
      <c r="P37" s="375"/>
    </row>
    <row r="38" spans="1:16" ht="17.25" customHeight="1" x14ac:dyDescent="0.25">
      <c r="A38" s="443" t="s">
        <v>327</v>
      </c>
      <c r="B38" s="444">
        <f>B35+B36</f>
        <v>-79146</v>
      </c>
      <c r="C38" s="444">
        <f>C35-C37</f>
        <v>35076.004717568874</v>
      </c>
      <c r="D38" s="444">
        <f t="shared" ref="D38:G38" si="21">D35-D37</f>
        <v>41473.592217568868</v>
      </c>
      <c r="E38" s="444">
        <f t="shared" si="21"/>
        <v>52884.6449675689</v>
      </c>
      <c r="F38" s="444">
        <f t="shared" si="21"/>
        <v>71872.284245068848</v>
      </c>
      <c r="G38" s="444">
        <f t="shared" si="21"/>
        <v>101118.31245596887</v>
      </c>
    </row>
    <row r="39" spans="1:16" ht="17.25" customHeight="1" x14ac:dyDescent="0.25">
      <c r="A39" s="48" t="s">
        <v>382</v>
      </c>
      <c r="B39" s="291">
        <f>EsquemaFinanciero!B4</f>
        <v>79146</v>
      </c>
      <c r="C39" s="3"/>
      <c r="D39" s="3"/>
      <c r="E39" s="3"/>
      <c r="F39" s="3"/>
      <c r="G39" s="3"/>
    </row>
    <row r="40" spans="1:16" ht="17.25" customHeight="1" x14ac:dyDescent="0.25">
      <c r="A40" s="60"/>
      <c r="B40" s="424"/>
      <c r="C40" s="60"/>
      <c r="D40" s="60"/>
      <c r="E40" s="60"/>
      <c r="F40" s="60"/>
      <c r="G40" s="60"/>
    </row>
    <row r="41" spans="1:16" ht="17.25" customHeight="1" x14ac:dyDescent="0.25">
      <c r="A41" s="60"/>
      <c r="B41" s="424"/>
      <c r="C41" s="60"/>
      <c r="D41" s="60"/>
      <c r="E41" s="60"/>
      <c r="F41" s="60"/>
      <c r="G41" s="60"/>
    </row>
    <row r="42" spans="1:16" ht="17.25" customHeight="1" x14ac:dyDescent="0.3">
      <c r="A42" s="425" t="s">
        <v>427</v>
      </c>
      <c r="B42" s="424"/>
      <c r="C42" s="60"/>
      <c r="D42" s="60"/>
      <c r="E42" s="60"/>
      <c r="F42" s="60"/>
      <c r="G42" s="60"/>
    </row>
    <row r="43" spans="1:16" ht="17.25" customHeight="1" x14ac:dyDescent="0.25"/>
    <row r="44" spans="1:16" ht="17.25" customHeight="1" x14ac:dyDescent="0.25">
      <c r="A44" s="296" t="s">
        <v>304</v>
      </c>
      <c r="B44" s="440">
        <v>0.12</v>
      </c>
    </row>
    <row r="45" spans="1:16" ht="17.25" customHeight="1" x14ac:dyDescent="0.25">
      <c r="A45" s="296" t="s">
        <v>386</v>
      </c>
      <c r="B45" s="380">
        <f>NPV(B44,C35:G35)+B35</f>
        <v>162732.90313137652</v>
      </c>
    </row>
    <row r="46" spans="1:16" ht="17.25" customHeight="1" x14ac:dyDescent="0.25">
      <c r="A46" s="296" t="s">
        <v>387</v>
      </c>
      <c r="B46" s="379">
        <f>IRR(B35:G35)</f>
        <v>0.6106257882809083</v>
      </c>
    </row>
    <row r="47" spans="1:16" ht="17.25" customHeight="1" x14ac:dyDescent="0.25">
      <c r="A47" s="296" t="s">
        <v>309</v>
      </c>
      <c r="B47" s="380">
        <f>NPV(B44,C38:G38)+B38</f>
        <v>125929.98291785945</v>
      </c>
    </row>
    <row r="48" spans="1:16" ht="17.25" customHeight="1" x14ac:dyDescent="0.25">
      <c r="A48" s="296" t="s">
        <v>308</v>
      </c>
      <c r="B48" s="379">
        <f>IRR(B38:G38)</f>
        <v>0.54037172068984529</v>
      </c>
    </row>
    <row r="49" spans="1:14" ht="17.25" customHeight="1" x14ac:dyDescent="0.25"/>
    <row r="50" spans="1:14" ht="17.25" customHeight="1" x14ac:dyDescent="0.25"/>
    <row r="51" spans="1:14" ht="17.25" customHeight="1" x14ac:dyDescent="0.25"/>
    <row r="52" spans="1:14" ht="17.25" customHeight="1" x14ac:dyDescent="0.25"/>
    <row r="53" spans="1:14" ht="17.25" customHeight="1" x14ac:dyDescent="0.25"/>
    <row r="54" spans="1:14" ht="17.25" customHeight="1" x14ac:dyDescent="0.25"/>
    <row r="55" spans="1:14" ht="17.25" customHeight="1" x14ac:dyDescent="0.25"/>
    <row r="56" spans="1:14" ht="17.25" customHeight="1" x14ac:dyDescent="0.25"/>
    <row r="57" spans="1:14" ht="17.25" customHeight="1" x14ac:dyDescent="0.25"/>
    <row r="58" spans="1:14" ht="17.25" customHeight="1" x14ac:dyDescent="0.25"/>
    <row r="59" spans="1:14" ht="17.25" customHeight="1" x14ac:dyDescent="0.25"/>
    <row r="60" spans="1:14" ht="17.25" customHeight="1" x14ac:dyDescent="0.25"/>
    <row r="61" spans="1:14" ht="16.5" customHeight="1" x14ac:dyDescent="0.4">
      <c r="A61" s="105" t="s">
        <v>49</v>
      </c>
      <c r="B61" s="9"/>
      <c r="C61" s="55"/>
    </row>
    <row r="62" spans="1:14" ht="15" customHeight="1" x14ac:dyDescent="0.25"/>
    <row r="63" spans="1:14" ht="24" customHeight="1" x14ac:dyDescent="0.25">
      <c r="A63" s="507" t="s">
        <v>50</v>
      </c>
      <c r="B63" s="508"/>
      <c r="C63" s="508"/>
      <c r="D63" s="508"/>
      <c r="E63" s="508"/>
      <c r="F63" s="508"/>
      <c r="G63" s="508"/>
      <c r="H63" s="508"/>
      <c r="I63" s="508"/>
      <c r="J63" s="508"/>
      <c r="K63" s="508"/>
      <c r="L63" s="508"/>
      <c r="M63" s="508"/>
      <c r="N63" s="509"/>
    </row>
    <row r="64" spans="1:14" ht="21" customHeight="1" x14ac:dyDescent="0.25">
      <c r="A64" s="530" t="s">
        <v>51</v>
      </c>
      <c r="B64" s="531"/>
      <c r="C64" s="531"/>
      <c r="D64" s="531"/>
      <c r="E64" s="531"/>
      <c r="F64" s="531"/>
      <c r="G64" s="531"/>
      <c r="H64" s="531"/>
      <c r="I64" s="531"/>
      <c r="J64" s="531"/>
      <c r="K64" s="531"/>
      <c r="L64" s="531"/>
      <c r="M64" s="531"/>
      <c r="N64" s="532"/>
    </row>
    <row r="65" spans="1:14" ht="21" customHeight="1" x14ac:dyDescent="0.25">
      <c r="A65" s="287" t="s">
        <v>0</v>
      </c>
      <c r="B65" s="287" t="s">
        <v>231</v>
      </c>
      <c r="C65" s="288" t="s">
        <v>1</v>
      </c>
      <c r="D65" s="288" t="s">
        <v>2</v>
      </c>
      <c r="E65" s="288" t="s">
        <v>3</v>
      </c>
      <c r="F65" s="288" t="s">
        <v>4</v>
      </c>
      <c r="G65" s="288" t="s">
        <v>5</v>
      </c>
      <c r="H65" s="288" t="s">
        <v>6</v>
      </c>
      <c r="I65" s="288" t="s">
        <v>7</v>
      </c>
      <c r="J65" s="288" t="s">
        <v>8</v>
      </c>
      <c r="K65" s="288" t="s">
        <v>9</v>
      </c>
      <c r="L65" s="288" t="s">
        <v>10</v>
      </c>
      <c r="M65" s="288" t="s">
        <v>11</v>
      </c>
      <c r="N65" s="288" t="s">
        <v>12</v>
      </c>
    </row>
    <row r="66" spans="1:14" ht="18" customHeight="1" x14ac:dyDescent="0.25">
      <c r="A66" s="3" t="s">
        <v>52</v>
      </c>
      <c r="B66" s="3"/>
      <c r="C66" s="15" t="e">
        <f>+#REF!</f>
        <v>#REF!</v>
      </c>
      <c r="D66" s="15" t="e">
        <f>+C74</f>
        <v>#REF!</v>
      </c>
      <c r="E66" s="15" t="e">
        <f t="shared" ref="E66:N66" si="22">+D74</f>
        <v>#REF!</v>
      </c>
      <c r="F66" s="15" t="e">
        <f t="shared" si="22"/>
        <v>#REF!</v>
      </c>
      <c r="G66" s="15" t="e">
        <f t="shared" si="22"/>
        <v>#REF!</v>
      </c>
      <c r="H66" s="15" t="e">
        <f t="shared" si="22"/>
        <v>#REF!</v>
      </c>
      <c r="I66" s="15" t="e">
        <f t="shared" si="22"/>
        <v>#REF!</v>
      </c>
      <c r="J66" s="15" t="e">
        <f t="shared" si="22"/>
        <v>#REF!</v>
      </c>
      <c r="K66" s="15" t="e">
        <f t="shared" si="22"/>
        <v>#REF!</v>
      </c>
      <c r="L66" s="15" t="e">
        <f t="shared" si="22"/>
        <v>#REF!</v>
      </c>
      <c r="M66" s="15" t="e">
        <f t="shared" si="22"/>
        <v>#REF!</v>
      </c>
      <c r="N66" s="15" t="e">
        <f t="shared" si="22"/>
        <v>#REF!</v>
      </c>
    </row>
    <row r="67" spans="1:14" ht="18" customHeight="1" x14ac:dyDescent="0.25">
      <c r="A67" s="3" t="s">
        <v>53</v>
      </c>
      <c r="B67" s="3"/>
      <c r="C67" s="15">
        <f t="shared" ref="C67:N67" si="23">C7+C8+C9</f>
        <v>11845</v>
      </c>
      <c r="D67" s="15">
        <f t="shared" si="23"/>
        <v>10700</v>
      </c>
      <c r="E67" s="15">
        <f t="shared" si="23"/>
        <v>11845</v>
      </c>
      <c r="F67" s="15">
        <f t="shared" si="23"/>
        <v>17505</v>
      </c>
      <c r="G67" s="15">
        <f t="shared" si="23"/>
        <v>18127.5</v>
      </c>
      <c r="H67" s="15">
        <f t="shared" si="23"/>
        <v>17505</v>
      </c>
      <c r="I67" s="15">
        <f t="shared" si="23"/>
        <v>18082.5</v>
      </c>
      <c r="J67" s="15">
        <f t="shared" si="23"/>
        <v>18127.5</v>
      </c>
      <c r="K67" s="15">
        <f t="shared" si="23"/>
        <v>24140</v>
      </c>
      <c r="L67" s="15">
        <f t="shared" si="23"/>
        <v>25040</v>
      </c>
      <c r="M67" s="15">
        <f t="shared" si="23"/>
        <v>24270</v>
      </c>
      <c r="N67" s="15">
        <f t="shared" si="23"/>
        <v>24910</v>
      </c>
    </row>
    <row r="68" spans="1:14" ht="18" customHeight="1" x14ac:dyDescent="0.25">
      <c r="A68" s="3" t="s">
        <v>54</v>
      </c>
      <c r="B68" s="3"/>
      <c r="C68" s="15">
        <f t="shared" ref="C68:N68" si="24">C10</f>
        <v>0</v>
      </c>
      <c r="D68" s="15">
        <f t="shared" si="24"/>
        <v>0</v>
      </c>
      <c r="E68" s="15">
        <f t="shared" si="24"/>
        <v>0</v>
      </c>
      <c r="F68" s="15">
        <f t="shared" si="24"/>
        <v>0</v>
      </c>
      <c r="G68" s="15">
        <f t="shared" si="24"/>
        <v>0</v>
      </c>
      <c r="H68" s="15">
        <f t="shared" si="24"/>
        <v>300</v>
      </c>
      <c r="I68" s="15">
        <f t="shared" si="24"/>
        <v>0</v>
      </c>
      <c r="J68" s="15">
        <f t="shared" si="24"/>
        <v>0</v>
      </c>
      <c r="K68" s="15">
        <f t="shared" si="24"/>
        <v>0</v>
      </c>
      <c r="L68" s="15">
        <f t="shared" si="24"/>
        <v>0</v>
      </c>
      <c r="M68" s="15">
        <f t="shared" si="24"/>
        <v>0</v>
      </c>
      <c r="N68" s="15">
        <f t="shared" si="24"/>
        <v>500</v>
      </c>
    </row>
    <row r="69" spans="1:14" s="9" customFormat="1" ht="18" customHeight="1" x14ac:dyDescent="0.25">
      <c r="A69" s="7" t="s">
        <v>55</v>
      </c>
      <c r="B69" s="7"/>
      <c r="C69" s="278" t="e">
        <f>+SUM(C66:C68)</f>
        <v>#REF!</v>
      </c>
      <c r="D69" s="278" t="e">
        <f t="shared" ref="D69:N69" si="25">+SUM(D66:D68)</f>
        <v>#REF!</v>
      </c>
      <c r="E69" s="278" t="e">
        <f t="shared" si="25"/>
        <v>#REF!</v>
      </c>
      <c r="F69" s="278" t="e">
        <f t="shared" si="25"/>
        <v>#REF!</v>
      </c>
      <c r="G69" s="278" t="e">
        <f t="shared" si="25"/>
        <v>#REF!</v>
      </c>
      <c r="H69" s="278" t="e">
        <f t="shared" si="25"/>
        <v>#REF!</v>
      </c>
      <c r="I69" s="278" t="e">
        <f t="shared" si="25"/>
        <v>#REF!</v>
      </c>
      <c r="J69" s="278" t="e">
        <f t="shared" si="25"/>
        <v>#REF!</v>
      </c>
      <c r="K69" s="278" t="e">
        <f t="shared" si="25"/>
        <v>#REF!</v>
      </c>
      <c r="L69" s="278" t="e">
        <f t="shared" si="25"/>
        <v>#REF!</v>
      </c>
      <c r="M69" s="278" t="e">
        <f t="shared" si="25"/>
        <v>#REF!</v>
      </c>
      <c r="N69" s="278" t="e">
        <f t="shared" si="25"/>
        <v>#REF!</v>
      </c>
    </row>
    <row r="70" spans="1:14" ht="18" customHeight="1" x14ac:dyDescent="0.25">
      <c r="A70" s="3" t="s">
        <v>57</v>
      </c>
      <c r="B70" s="3"/>
      <c r="C70" s="15">
        <f t="shared" ref="C70:N70" si="26">+C14</f>
        <v>1950</v>
      </c>
      <c r="D70" s="15">
        <f t="shared" si="26"/>
        <v>1950</v>
      </c>
      <c r="E70" s="15">
        <f t="shared" si="26"/>
        <v>1950</v>
      </c>
      <c r="F70" s="15">
        <f t="shared" si="26"/>
        <v>1950</v>
      </c>
      <c r="G70" s="15">
        <f t="shared" si="26"/>
        <v>1950</v>
      </c>
      <c r="H70" s="15">
        <f t="shared" si="26"/>
        <v>1950</v>
      </c>
      <c r="I70" s="15">
        <f t="shared" si="26"/>
        <v>1950</v>
      </c>
      <c r="J70" s="15">
        <f t="shared" si="26"/>
        <v>1950</v>
      </c>
      <c r="K70" s="15">
        <f t="shared" si="26"/>
        <v>1950</v>
      </c>
      <c r="L70" s="15">
        <f t="shared" si="26"/>
        <v>1950</v>
      </c>
      <c r="M70" s="15">
        <f t="shared" si="26"/>
        <v>1950</v>
      </c>
      <c r="N70" s="15">
        <f t="shared" si="26"/>
        <v>1950</v>
      </c>
    </row>
    <row r="71" spans="1:14" ht="18" customHeight="1" x14ac:dyDescent="0.25">
      <c r="A71" s="3" t="s">
        <v>56</v>
      </c>
      <c r="B71" s="3"/>
      <c r="C71" s="15">
        <f t="shared" ref="C71:N71" si="27">+C15</f>
        <v>6768.5</v>
      </c>
      <c r="D71" s="15">
        <f t="shared" si="27"/>
        <v>6120</v>
      </c>
      <c r="E71" s="15">
        <f t="shared" si="27"/>
        <v>6768.5</v>
      </c>
      <c r="F71" s="15">
        <f t="shared" si="27"/>
        <v>10025</v>
      </c>
      <c r="G71" s="15">
        <f t="shared" si="27"/>
        <v>10259.5</v>
      </c>
      <c r="H71" s="15">
        <f t="shared" si="27"/>
        <v>10025</v>
      </c>
      <c r="I71" s="15">
        <f t="shared" si="27"/>
        <v>10374.5</v>
      </c>
      <c r="J71" s="15">
        <f t="shared" si="27"/>
        <v>10259.5</v>
      </c>
      <c r="K71" s="15">
        <f t="shared" si="27"/>
        <v>13756</v>
      </c>
      <c r="L71" s="15">
        <f t="shared" si="27"/>
        <v>14194</v>
      </c>
      <c r="M71" s="15">
        <f t="shared" si="27"/>
        <v>13728</v>
      </c>
      <c r="N71" s="15">
        <f t="shared" si="27"/>
        <v>14222</v>
      </c>
    </row>
    <row r="72" spans="1:14" ht="18" customHeight="1" x14ac:dyDescent="0.25">
      <c r="A72" s="3" t="s">
        <v>58</v>
      </c>
      <c r="B72" s="3"/>
      <c r="C72" s="15">
        <f t="shared" ref="C72:N72" si="28">C16</f>
        <v>2055</v>
      </c>
      <c r="D72" s="15">
        <f t="shared" si="28"/>
        <v>2055</v>
      </c>
      <c r="E72" s="15">
        <f t="shared" si="28"/>
        <v>2055</v>
      </c>
      <c r="F72" s="15">
        <f t="shared" si="28"/>
        <v>2055</v>
      </c>
      <c r="G72" s="15">
        <f t="shared" si="28"/>
        <v>2055</v>
      </c>
      <c r="H72" s="15">
        <f t="shared" si="28"/>
        <v>2055</v>
      </c>
      <c r="I72" s="15">
        <f t="shared" si="28"/>
        <v>2055</v>
      </c>
      <c r="J72" s="15">
        <f t="shared" si="28"/>
        <v>2055</v>
      </c>
      <c r="K72" s="15">
        <f t="shared" si="28"/>
        <v>2055</v>
      </c>
      <c r="L72" s="15">
        <f t="shared" si="28"/>
        <v>2055</v>
      </c>
      <c r="M72" s="15">
        <f t="shared" si="28"/>
        <v>2055</v>
      </c>
      <c r="N72" s="15">
        <f t="shared" si="28"/>
        <v>2055</v>
      </c>
    </row>
    <row r="73" spans="1:14" s="9" customFormat="1" ht="18" customHeight="1" x14ac:dyDescent="0.25">
      <c r="A73" s="7" t="s">
        <v>59</v>
      </c>
      <c r="B73" s="7"/>
      <c r="C73" s="278">
        <f>+SUM(C70:C72)</f>
        <v>10773.5</v>
      </c>
      <c r="D73" s="278">
        <f t="shared" ref="D73:N73" si="29">+SUM(D70:D72)</f>
        <v>10125</v>
      </c>
      <c r="E73" s="278">
        <f t="shared" si="29"/>
        <v>10773.5</v>
      </c>
      <c r="F73" s="278">
        <f t="shared" si="29"/>
        <v>14030</v>
      </c>
      <c r="G73" s="278">
        <f t="shared" si="29"/>
        <v>14264.5</v>
      </c>
      <c r="H73" s="278">
        <f t="shared" si="29"/>
        <v>14030</v>
      </c>
      <c r="I73" s="278">
        <f t="shared" si="29"/>
        <v>14379.5</v>
      </c>
      <c r="J73" s="278">
        <f t="shared" si="29"/>
        <v>14264.5</v>
      </c>
      <c r="K73" s="278">
        <f t="shared" si="29"/>
        <v>17761</v>
      </c>
      <c r="L73" s="278">
        <f t="shared" si="29"/>
        <v>18199</v>
      </c>
      <c r="M73" s="278">
        <f t="shared" si="29"/>
        <v>17733</v>
      </c>
      <c r="N73" s="278">
        <f t="shared" si="29"/>
        <v>18227</v>
      </c>
    </row>
    <row r="74" spans="1:14" ht="18" customHeight="1" x14ac:dyDescent="0.25">
      <c r="A74" s="3" t="s">
        <v>60</v>
      </c>
      <c r="B74" s="3"/>
      <c r="C74" s="15" t="e">
        <f>+C69-C73</f>
        <v>#REF!</v>
      </c>
      <c r="D74" s="15" t="e">
        <f t="shared" ref="D74:N74" si="30">+D69-D73</f>
        <v>#REF!</v>
      </c>
      <c r="E74" s="15" t="e">
        <f t="shared" si="30"/>
        <v>#REF!</v>
      </c>
      <c r="F74" s="15" t="e">
        <f t="shared" si="30"/>
        <v>#REF!</v>
      </c>
      <c r="G74" s="15" t="e">
        <f t="shared" si="30"/>
        <v>#REF!</v>
      </c>
      <c r="H74" s="15" t="e">
        <f t="shared" si="30"/>
        <v>#REF!</v>
      </c>
      <c r="I74" s="15" t="e">
        <f t="shared" si="30"/>
        <v>#REF!</v>
      </c>
      <c r="J74" s="15" t="e">
        <f t="shared" si="30"/>
        <v>#REF!</v>
      </c>
      <c r="K74" s="15" t="e">
        <f t="shared" si="30"/>
        <v>#REF!</v>
      </c>
      <c r="L74" s="15" t="e">
        <f t="shared" si="30"/>
        <v>#REF!</v>
      </c>
      <c r="M74" s="15" t="e">
        <f t="shared" si="30"/>
        <v>#REF!</v>
      </c>
      <c r="N74" s="15" t="e">
        <f t="shared" si="30"/>
        <v>#REF!</v>
      </c>
    </row>
  </sheetData>
  <mergeCells count="10">
    <mergeCell ref="O6:Z6"/>
    <mergeCell ref="O12:Z12"/>
    <mergeCell ref="A64:N64"/>
    <mergeCell ref="B4:N4"/>
    <mergeCell ref="A3:N3"/>
    <mergeCell ref="A6:N6"/>
    <mergeCell ref="A12:N12"/>
    <mergeCell ref="A63:N63"/>
    <mergeCell ref="O4:Z4"/>
    <mergeCell ref="O3:Z3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Z31"/>
  <sheetViews>
    <sheetView showGridLines="0" workbookViewId="0">
      <selection activeCell="C33" sqref="C33"/>
    </sheetView>
  </sheetViews>
  <sheetFormatPr baseColWidth="10" defaultRowHeight="14.4" x14ac:dyDescent="0.3"/>
  <cols>
    <col min="1" max="1" width="17.5546875" customWidth="1"/>
    <col min="2" max="2" width="14.5546875" bestFit="1" customWidth="1"/>
    <col min="5" max="6" width="15.33203125" customWidth="1"/>
  </cols>
  <sheetData>
    <row r="1" spans="1:26" s="111" customFormat="1" ht="24.75" customHeight="1" x14ac:dyDescent="0.3">
      <c r="A1" s="393" t="s">
        <v>437</v>
      </c>
    </row>
    <row r="3" spans="1:26" ht="18" customHeight="1" x14ac:dyDescent="0.3">
      <c r="A3" s="232" t="s">
        <v>388</v>
      </c>
      <c r="B3" s="387">
        <v>0</v>
      </c>
      <c r="C3" s="387">
        <v>1</v>
      </c>
      <c r="D3" s="387">
        <v>2</v>
      </c>
      <c r="E3" s="387">
        <v>3</v>
      </c>
      <c r="F3" s="387">
        <v>4</v>
      </c>
      <c r="G3" s="387">
        <v>5</v>
      </c>
      <c r="H3" s="387">
        <v>6</v>
      </c>
      <c r="I3" s="387">
        <v>7</v>
      </c>
      <c r="J3" s="387">
        <v>8</v>
      </c>
      <c r="K3" s="387">
        <v>9</v>
      </c>
      <c r="L3" s="387">
        <v>10</v>
      </c>
      <c r="M3" s="387">
        <v>11</v>
      </c>
      <c r="N3" s="387">
        <v>12</v>
      </c>
      <c r="O3" s="387">
        <v>13</v>
      </c>
      <c r="P3" s="387">
        <v>14</v>
      </c>
      <c r="Q3" s="387">
        <v>15</v>
      </c>
      <c r="R3" s="387">
        <v>16</v>
      </c>
      <c r="S3" s="387">
        <v>17</v>
      </c>
      <c r="T3" s="387">
        <v>18</v>
      </c>
      <c r="U3" s="387">
        <v>19</v>
      </c>
      <c r="V3" s="387">
        <v>20</v>
      </c>
      <c r="W3" s="387">
        <v>21</v>
      </c>
      <c r="X3" s="387">
        <v>22</v>
      </c>
      <c r="Y3" s="387">
        <v>23</v>
      </c>
      <c r="Z3" s="387">
        <v>24</v>
      </c>
    </row>
    <row r="4" spans="1:26" ht="19.5" customHeight="1" x14ac:dyDescent="0.3">
      <c r="A4" s="232" t="s">
        <v>45</v>
      </c>
      <c r="B4" s="78">
        <v>0</v>
      </c>
      <c r="C4" s="78">
        <f>'PlanDeVentas y FlujoDeEfectivo'!C11</f>
        <v>11845</v>
      </c>
      <c r="D4" s="78">
        <f>'PlanDeVentas y FlujoDeEfectivo'!D11</f>
        <v>10700</v>
      </c>
      <c r="E4" s="78">
        <f>'PlanDeVentas y FlujoDeEfectivo'!E11</f>
        <v>11845</v>
      </c>
      <c r="F4" s="78">
        <f>'PlanDeVentas y FlujoDeEfectivo'!F11</f>
        <v>17505</v>
      </c>
      <c r="G4" s="78">
        <f>'PlanDeVentas y FlujoDeEfectivo'!G11</f>
        <v>18127.5</v>
      </c>
      <c r="H4" s="78">
        <f>'PlanDeVentas y FlujoDeEfectivo'!H11</f>
        <v>17805</v>
      </c>
      <c r="I4" s="78">
        <f>'PlanDeVentas y FlujoDeEfectivo'!I11</f>
        <v>18082.5</v>
      </c>
      <c r="J4" s="78">
        <f>'PlanDeVentas y FlujoDeEfectivo'!J11</f>
        <v>18127.5</v>
      </c>
      <c r="K4" s="78">
        <f>'PlanDeVentas y FlujoDeEfectivo'!K11</f>
        <v>24140</v>
      </c>
      <c r="L4" s="78">
        <f>'PlanDeVentas y FlujoDeEfectivo'!L11</f>
        <v>25040</v>
      </c>
      <c r="M4" s="78">
        <f>'PlanDeVentas y FlujoDeEfectivo'!M11</f>
        <v>24270</v>
      </c>
      <c r="N4" s="78">
        <f>'PlanDeVentas y FlujoDeEfectivo'!N11</f>
        <v>25410</v>
      </c>
      <c r="O4" s="78">
        <f>'PlanDeVentas y FlujoDeEfectivo'!O11</f>
        <v>12437.25</v>
      </c>
      <c r="P4" s="78">
        <f>'PlanDeVentas y FlujoDeEfectivo'!P11</f>
        <v>11235</v>
      </c>
      <c r="Q4" s="78">
        <f>'PlanDeVentas y FlujoDeEfectivo'!Q11</f>
        <v>12437.25</v>
      </c>
      <c r="R4" s="78">
        <f>'PlanDeVentas y FlujoDeEfectivo'!R11</f>
        <v>18380.25</v>
      </c>
      <c r="S4" s="78">
        <f>'PlanDeVentas y FlujoDeEfectivo'!S11</f>
        <v>19033.875</v>
      </c>
      <c r="T4" s="78">
        <f>'PlanDeVentas y FlujoDeEfectivo'!T11</f>
        <v>18730.25</v>
      </c>
      <c r="U4" s="78">
        <f>'PlanDeVentas y FlujoDeEfectivo'!U11</f>
        <v>18986.625</v>
      </c>
      <c r="V4" s="78">
        <f>'PlanDeVentas y FlujoDeEfectivo'!V11</f>
        <v>19033.875</v>
      </c>
      <c r="W4" s="78">
        <f>'PlanDeVentas y FlujoDeEfectivo'!W11</f>
        <v>25347</v>
      </c>
      <c r="X4" s="78">
        <f>'PlanDeVentas y FlujoDeEfectivo'!X11</f>
        <v>26292</v>
      </c>
      <c r="Y4" s="78">
        <f>'PlanDeVentas y FlujoDeEfectivo'!Y11</f>
        <v>25483.5</v>
      </c>
      <c r="Z4" s="78">
        <f>'PlanDeVentas y FlujoDeEfectivo'!Z11</f>
        <v>26855.5</v>
      </c>
    </row>
    <row r="5" spans="1:26" ht="19.5" customHeight="1" x14ac:dyDescent="0.3">
      <c r="A5" s="232" t="s">
        <v>46</v>
      </c>
      <c r="B5" s="388">
        <f>'PlanDeVentas y FlujoDeEfectivo'!B17</f>
        <v>90146</v>
      </c>
      <c r="C5" s="78">
        <f>'PlanDeVentas y FlujoDeEfectivo'!C17</f>
        <v>10773.5</v>
      </c>
      <c r="D5" s="78">
        <f>'PlanDeVentas y FlujoDeEfectivo'!D17</f>
        <v>10125</v>
      </c>
      <c r="E5" s="78">
        <f>'PlanDeVentas y FlujoDeEfectivo'!E17</f>
        <v>10773.5</v>
      </c>
      <c r="F5" s="78">
        <f>'PlanDeVentas y FlujoDeEfectivo'!F17</f>
        <v>14030</v>
      </c>
      <c r="G5" s="78">
        <f>'PlanDeVentas y FlujoDeEfectivo'!G17</f>
        <v>14264.5</v>
      </c>
      <c r="H5" s="78">
        <f>'PlanDeVentas y FlujoDeEfectivo'!H17</f>
        <v>14030</v>
      </c>
      <c r="I5" s="78">
        <f>'PlanDeVentas y FlujoDeEfectivo'!I17</f>
        <v>14379.5</v>
      </c>
      <c r="J5" s="78">
        <f>'PlanDeVentas y FlujoDeEfectivo'!J17</f>
        <v>14264.5</v>
      </c>
      <c r="K5" s="78">
        <f>'PlanDeVentas y FlujoDeEfectivo'!K17</f>
        <v>17761</v>
      </c>
      <c r="L5" s="78">
        <f>'PlanDeVentas y FlujoDeEfectivo'!L17</f>
        <v>18199</v>
      </c>
      <c r="M5" s="78">
        <f>'PlanDeVentas y FlujoDeEfectivo'!M17</f>
        <v>17733</v>
      </c>
      <c r="N5" s="78">
        <f>'PlanDeVentas y FlujoDeEfectivo'!N17</f>
        <v>18227</v>
      </c>
      <c r="O5" s="78">
        <f>'PlanDeVentas y FlujoDeEfectivo'!O17</f>
        <v>11353.625</v>
      </c>
      <c r="P5" s="78">
        <f>'PlanDeVentas y FlujoDeEfectivo'!P17</f>
        <v>10752.5</v>
      </c>
      <c r="Q5" s="78">
        <f>'PlanDeVentas y FlujoDeEfectivo'!Q17</f>
        <v>11353.625</v>
      </c>
      <c r="R5" s="78">
        <f>'PlanDeVentas y FlujoDeEfectivo'!R17</f>
        <v>14325.125</v>
      </c>
      <c r="S5" s="78">
        <f>'PlanDeVentas y FlujoDeEfectivo'!S17</f>
        <v>14651.9375</v>
      </c>
      <c r="T5" s="78">
        <f>'PlanDeVentas y FlujoDeEfectivo'!T17</f>
        <v>14325.125</v>
      </c>
      <c r="U5" s="78">
        <f>'PlanDeVentas y FlujoDeEfectivo'!U17</f>
        <v>14628.3125</v>
      </c>
      <c r="V5" s="78">
        <f>'PlanDeVentas y FlujoDeEfectivo'!V17</f>
        <v>14651.9375</v>
      </c>
      <c r="W5" s="78">
        <f>'PlanDeVentas y FlujoDeEfectivo'!W17</f>
        <v>17808.5</v>
      </c>
      <c r="X5" s="78">
        <f>'PlanDeVentas y FlujoDeEfectivo'!X17</f>
        <v>18281</v>
      </c>
      <c r="Y5" s="78">
        <f>'PlanDeVentas y FlujoDeEfectivo'!Y17</f>
        <v>17876.75</v>
      </c>
      <c r="Z5" s="78">
        <f>'PlanDeVentas y FlujoDeEfectivo'!Z17</f>
        <v>18212.75</v>
      </c>
    </row>
    <row r="6" spans="1:26" ht="19.5" customHeight="1" x14ac:dyDescent="0.3">
      <c r="A6" s="232" t="s">
        <v>391</v>
      </c>
      <c r="B6" s="78">
        <f>1/(1+B10)^B3</f>
        <v>1</v>
      </c>
      <c r="C6" s="78">
        <f>1/(1+$B$10)^C3</f>
        <v>0.98814229249011853</v>
      </c>
      <c r="D6" s="78">
        <f t="shared" ref="D6:Z6" si="0">1/(1+$B$10)^D3</f>
        <v>0.97642519020762708</v>
      </c>
      <c r="E6" s="78">
        <f t="shared" si="0"/>
        <v>0.96484702589686466</v>
      </c>
      <c r="F6" s="78">
        <f t="shared" si="0"/>
        <v>0.95340615207200075</v>
      </c>
      <c r="G6" s="78">
        <f t="shared" si="0"/>
        <v>0.94210094078260942</v>
      </c>
      <c r="H6" s="78">
        <f t="shared" si="0"/>
        <v>0.93092978338202526</v>
      </c>
      <c r="I6" s="78">
        <f t="shared" si="0"/>
        <v>0.91989109029844374</v>
      </c>
      <c r="J6" s="78">
        <f t="shared" si="0"/>
        <v>0.90898329080873885</v>
      </c>
      <c r="K6" s="78">
        <f t="shared" si="0"/>
        <v>0.89820483281495944</v>
      </c>
      <c r="L6" s="78">
        <f t="shared" si="0"/>
        <v>0.88755418262347763</v>
      </c>
      <c r="M6" s="78">
        <f t="shared" si="0"/>
        <v>0.87702982472675661</v>
      </c>
      <c r="N6" s="78">
        <f t="shared" si="0"/>
        <v>0.86663026158770418</v>
      </c>
      <c r="O6" s="78">
        <f t="shared" si="0"/>
        <v>0.85635401342658524</v>
      </c>
      <c r="P6" s="78">
        <f t="shared" si="0"/>
        <v>0.84619961801045973</v>
      </c>
      <c r="Q6" s="78">
        <f t="shared" si="0"/>
        <v>0.83616563044511816</v>
      </c>
      <c r="R6" s="78">
        <f t="shared" si="0"/>
        <v>0.82625062296948437</v>
      </c>
      <c r="S6" s="78">
        <f t="shared" si="0"/>
        <v>0.81645318475245487</v>
      </c>
      <c r="T6" s="78">
        <f t="shared" si="0"/>
        <v>0.80677192169214917</v>
      </c>
      <c r="U6" s="78">
        <f t="shared" si="0"/>
        <v>0.79720545621753858</v>
      </c>
      <c r="V6" s="78">
        <f t="shared" si="0"/>
        <v>0.78775242709242954</v>
      </c>
      <c r="W6" s="78">
        <f t="shared" si="0"/>
        <v>0.77841148922176828</v>
      </c>
      <c r="X6" s="78">
        <f t="shared" si="0"/>
        <v>0.76918131346024543</v>
      </c>
      <c r="Y6" s="78">
        <f t="shared" si="0"/>
        <v>0.76006058642316721</v>
      </c>
      <c r="Z6" s="78">
        <f t="shared" si="0"/>
        <v>0.75104801029957247</v>
      </c>
    </row>
    <row r="7" spans="1:26" ht="28.8" x14ac:dyDescent="0.3">
      <c r="A7" s="94" t="s">
        <v>389</v>
      </c>
      <c r="B7" s="78">
        <f>B4*B5</f>
        <v>0</v>
      </c>
      <c r="C7" s="78">
        <f>C4*C6</f>
        <v>11704.545454545454</v>
      </c>
      <c r="D7" s="78">
        <f t="shared" ref="D7:Z7" si="1">D4*D6</f>
        <v>10447.74953522161</v>
      </c>
      <c r="E7" s="78">
        <f t="shared" si="1"/>
        <v>11428.613021748362</v>
      </c>
      <c r="F7" s="78">
        <f t="shared" si="1"/>
        <v>16689.374692020374</v>
      </c>
      <c r="G7" s="78">
        <f t="shared" si="1"/>
        <v>17077.934804036751</v>
      </c>
      <c r="H7" s="78">
        <f t="shared" si="1"/>
        <v>16575.204793116958</v>
      </c>
      <c r="I7" s="78">
        <f t="shared" si="1"/>
        <v>16633.930640321611</v>
      </c>
      <c r="J7" s="78">
        <f t="shared" si="1"/>
        <v>16477.594604135415</v>
      </c>
      <c r="K7" s="78">
        <f t="shared" si="1"/>
        <v>21682.664664153122</v>
      </c>
      <c r="L7" s="78">
        <f t="shared" si="1"/>
        <v>22224.35673289188</v>
      </c>
      <c r="M7" s="78">
        <f t="shared" si="1"/>
        <v>21285.513846118381</v>
      </c>
      <c r="N7" s="78">
        <f t="shared" si="1"/>
        <v>22021.074946943561</v>
      </c>
      <c r="O7" s="78">
        <f t="shared" si="1"/>
        <v>10650.688953489796</v>
      </c>
      <c r="P7" s="78">
        <f t="shared" si="1"/>
        <v>9507.0527083475154</v>
      </c>
      <c r="Q7" s="78">
        <f t="shared" si="1"/>
        <v>10399.600987253545</v>
      </c>
      <c r="R7" s="78">
        <f t="shared" si="1"/>
        <v>15186.693012834865</v>
      </c>
      <c r="S7" s="78">
        <f t="shared" si="1"/>
        <v>15540.267861930131</v>
      </c>
      <c r="T7" s="78">
        <f t="shared" si="1"/>
        <v>15111.039786274378</v>
      </c>
      <c r="U7" s="78">
        <f t="shared" si="1"/>
        <v>15136.241045156323</v>
      </c>
      <c r="V7" s="78">
        <f t="shared" si="1"/>
        <v>14993.981228223918</v>
      </c>
      <c r="W7" s="78">
        <f t="shared" si="1"/>
        <v>19730.39601730416</v>
      </c>
      <c r="X7" s="78">
        <f t="shared" si="1"/>
        <v>20223.315093496774</v>
      </c>
      <c r="Y7" s="78">
        <f t="shared" si="1"/>
        <v>19369.003954114782</v>
      </c>
      <c r="Z7" s="78">
        <f t="shared" si="1"/>
        <v>20169.769840600169</v>
      </c>
    </row>
    <row r="8" spans="1:26" ht="28.8" x14ac:dyDescent="0.3">
      <c r="A8" s="94" t="s">
        <v>390</v>
      </c>
      <c r="B8" s="78">
        <f>B5*B6</f>
        <v>90146</v>
      </c>
      <c r="C8" s="78">
        <f>C5*C6</f>
        <v>10645.750988142292</v>
      </c>
      <c r="D8" s="78">
        <f t="shared" ref="D8:Z8" si="2">D5*D6</f>
        <v>9886.3050508522247</v>
      </c>
      <c r="E8" s="78">
        <f t="shared" si="2"/>
        <v>10394.779433499871</v>
      </c>
      <c r="F8" s="78">
        <f t="shared" si="2"/>
        <v>13376.28831357017</v>
      </c>
      <c r="G8" s="78">
        <f t="shared" si="2"/>
        <v>13438.598869793532</v>
      </c>
      <c r="H8" s="78">
        <f t="shared" si="2"/>
        <v>13060.944860849815</v>
      </c>
      <c r="I8" s="78">
        <f t="shared" si="2"/>
        <v>13227.573932946472</v>
      </c>
      <c r="J8" s="78">
        <f t="shared" si="2"/>
        <v>12966.192151741256</v>
      </c>
      <c r="K8" s="78">
        <f t="shared" si="2"/>
        <v>15953.016035626495</v>
      </c>
      <c r="L8" s="78">
        <f t="shared" si="2"/>
        <v>16152.598569564669</v>
      </c>
      <c r="M8" s="78">
        <f t="shared" si="2"/>
        <v>15552.369881879575</v>
      </c>
      <c r="N8" s="78">
        <f t="shared" si="2"/>
        <v>15796.069777959085</v>
      </c>
      <c r="O8" s="78">
        <f t="shared" si="2"/>
        <v>9722.7223356904142</v>
      </c>
      <c r="P8" s="78">
        <f t="shared" si="2"/>
        <v>9098.7613926574686</v>
      </c>
      <c r="Q8" s="78">
        <f t="shared" si="2"/>
        <v>9493.5110059624549</v>
      </c>
      <c r="R8" s="78">
        <f t="shared" si="2"/>
        <v>11836.143455365735</v>
      </c>
      <c r="S8" s="78">
        <f t="shared" si="2"/>
        <v>11962.621034668922</v>
      </c>
      <c r="T8" s="78">
        <f t="shared" si="2"/>
        <v>11557.108624730248</v>
      </c>
      <c r="U8" s="78">
        <f t="shared" si="2"/>
        <v>11661.770540255222</v>
      </c>
      <c r="V8" s="78">
        <f t="shared" si="2"/>
        <v>11542.099327231585</v>
      </c>
      <c r="W8" s="78">
        <f t="shared" si="2"/>
        <v>13862.34100580586</v>
      </c>
      <c r="X8" s="78">
        <f t="shared" si="2"/>
        <v>14061.403591366747</v>
      </c>
      <c r="Y8" s="78">
        <f t="shared" si="2"/>
        <v>13587.413088340354</v>
      </c>
      <c r="Z8" s="78">
        <f t="shared" si="2"/>
        <v>13678.649649583538</v>
      </c>
    </row>
    <row r="9" spans="1:26" hidden="1" x14ac:dyDescent="0.3"/>
    <row r="10" spans="1:26" hidden="1" x14ac:dyDescent="0.3">
      <c r="A10" s="390" t="s">
        <v>395</v>
      </c>
      <c r="B10" s="431">
        <v>1.2E-2</v>
      </c>
      <c r="C10" s="75"/>
      <c r="N10">
        <f>SUM(B4:N4)</f>
        <v>222897.5</v>
      </c>
    </row>
    <row r="11" spans="1:26" hidden="1" x14ac:dyDescent="0.3">
      <c r="C11" s="75"/>
    </row>
    <row r="12" spans="1:26" hidden="1" x14ac:dyDescent="0.3">
      <c r="A12" s="390" t="s">
        <v>392</v>
      </c>
      <c r="B12" s="389">
        <f>NPV(B10,C4:Z4)+B4</f>
        <v>390266.60822427977</v>
      </c>
      <c r="C12" s="75"/>
    </row>
    <row r="13" spans="1:26" hidden="1" x14ac:dyDescent="0.3">
      <c r="A13" s="390" t="s">
        <v>393</v>
      </c>
      <c r="B13" s="389">
        <f>NPV(B10,C5:Z5)+B5</f>
        <v>392661.03291808406</v>
      </c>
      <c r="C13" s="233"/>
    </row>
    <row r="14" spans="1:26" hidden="1" x14ac:dyDescent="0.3">
      <c r="A14" s="390" t="s">
        <v>394</v>
      </c>
      <c r="B14" s="6">
        <f>B12/B13</f>
        <v>0.99390205675360765</v>
      </c>
      <c r="C14" s="75"/>
    </row>
    <row r="15" spans="1:26" hidden="1" x14ac:dyDescent="0.3">
      <c r="C15" s="75"/>
    </row>
    <row r="16" spans="1:26" hidden="1" x14ac:dyDescent="0.3">
      <c r="E16" s="386"/>
    </row>
    <row r="17" spans="1:7" hidden="1" x14ac:dyDescent="0.3"/>
    <row r="19" spans="1:7" hidden="1" x14ac:dyDescent="0.3"/>
    <row r="20" spans="1:7" hidden="1" x14ac:dyDescent="0.3"/>
    <row r="22" spans="1:7" x14ac:dyDescent="0.3">
      <c r="A22" s="232" t="s">
        <v>436</v>
      </c>
      <c r="B22" s="387">
        <v>0</v>
      </c>
      <c r="C22" s="387">
        <v>1</v>
      </c>
      <c r="D22" s="387">
        <v>2</v>
      </c>
      <c r="E22" s="387">
        <v>3</v>
      </c>
      <c r="F22" s="387">
        <v>4</v>
      </c>
      <c r="G22" s="387">
        <v>5</v>
      </c>
    </row>
    <row r="23" spans="1:7" x14ac:dyDescent="0.3">
      <c r="A23" s="232" t="s">
        <v>45</v>
      </c>
      <c r="B23" s="78">
        <v>0</v>
      </c>
      <c r="C23" s="78">
        <v>222897</v>
      </c>
      <c r="D23" s="78">
        <v>233202</v>
      </c>
      <c r="E23" s="78">
        <v>256523</v>
      </c>
      <c r="F23" s="78">
        <v>295001</v>
      </c>
      <c r="G23" s="78">
        <v>354001</v>
      </c>
    </row>
    <row r="24" spans="1:7" x14ac:dyDescent="0.3">
      <c r="A24" s="232" t="s">
        <v>46</v>
      </c>
      <c r="B24" s="78">
        <v>92996</v>
      </c>
      <c r="C24" s="78">
        <v>197541</v>
      </c>
      <c r="D24" s="78">
        <v>195898</v>
      </c>
      <c r="E24" s="78">
        <v>208678</v>
      </c>
      <c r="F24" s="78">
        <v>190795</v>
      </c>
      <c r="G24" s="78">
        <v>220673</v>
      </c>
    </row>
    <row r="25" spans="1:7" x14ac:dyDescent="0.3">
      <c r="A25" s="232" t="s">
        <v>391</v>
      </c>
      <c r="B25" s="78">
        <f>1/(1+$B$27)^B22</f>
        <v>1</v>
      </c>
      <c r="C25" s="78">
        <f t="shared" ref="C25:G25" si="3">1/(1+$B$27)^C22</f>
        <v>0.98814229249011853</v>
      </c>
      <c r="D25" s="78">
        <f t="shared" si="3"/>
        <v>0.97642519020762708</v>
      </c>
      <c r="E25" s="78">
        <f t="shared" si="3"/>
        <v>0.96484702589686466</v>
      </c>
      <c r="F25" s="78">
        <f t="shared" si="3"/>
        <v>0.95340615207200075</v>
      </c>
      <c r="G25" s="78">
        <f t="shared" si="3"/>
        <v>0.94210094078260942</v>
      </c>
    </row>
    <row r="27" spans="1:7" x14ac:dyDescent="0.3">
      <c r="A27" s="390" t="s">
        <v>395</v>
      </c>
      <c r="B27" s="431">
        <v>1.2E-2</v>
      </c>
    </row>
    <row r="29" spans="1:7" x14ac:dyDescent="0.3">
      <c r="A29" s="390" t="s">
        <v>392</v>
      </c>
      <c r="B29" s="389">
        <f>NPV(B27,C23:G23)+B23</f>
        <v>1310224.1568054871</v>
      </c>
    </row>
    <row r="30" spans="1:7" x14ac:dyDescent="0.3">
      <c r="A30" s="390" t="s">
        <v>393</v>
      </c>
      <c r="B30" s="389">
        <f>NPV(B27,C24:G24)+B24</f>
        <v>1070618.0738720885</v>
      </c>
    </row>
    <row r="31" spans="1:7" x14ac:dyDescent="0.3">
      <c r="A31" s="390" t="s">
        <v>394</v>
      </c>
      <c r="B31" s="6">
        <f>B29/B30</f>
        <v>1.2238016420429172</v>
      </c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Y50"/>
  <sheetViews>
    <sheetView showGridLines="0" topLeftCell="A2" zoomScale="120" zoomScaleNormal="120" workbookViewId="0">
      <selection activeCell="I44" sqref="I44"/>
    </sheetView>
  </sheetViews>
  <sheetFormatPr baseColWidth="10" defaultColWidth="11.44140625" defaultRowHeight="11.4" x14ac:dyDescent="0.2"/>
  <cols>
    <col min="1" max="1" width="32.33203125" style="204" customWidth="1"/>
    <col min="2" max="6" width="15.6640625" style="204" customWidth="1"/>
    <col min="7" max="9" width="11.88671875" style="204" customWidth="1"/>
    <col min="10" max="13" width="12.33203125" style="204" customWidth="1"/>
    <col min="14" max="16" width="13.44140625" style="343" customWidth="1"/>
    <col min="17" max="25" width="12.88671875" style="343" bestFit="1" customWidth="1"/>
    <col min="26" max="16384" width="11.44140625" style="204"/>
  </cols>
  <sheetData>
    <row r="1" spans="1:25" s="208" customFormat="1" ht="30" customHeight="1" x14ac:dyDescent="0.3">
      <c r="A1" s="393" t="s">
        <v>399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5"/>
      <c r="O1" s="395"/>
      <c r="P1" s="395"/>
      <c r="Q1" s="395"/>
      <c r="R1" s="395"/>
      <c r="S1" s="395"/>
      <c r="T1" s="395"/>
      <c r="U1" s="395"/>
      <c r="V1" s="395"/>
      <c r="W1" s="395"/>
      <c r="X1" s="395"/>
      <c r="Y1" s="395"/>
    </row>
    <row r="2" spans="1:25" ht="12" customHeight="1" x14ac:dyDescent="0.25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337"/>
      <c r="O2" s="337"/>
      <c r="P2" s="337"/>
      <c r="Q2" s="337"/>
      <c r="R2" s="337"/>
      <c r="S2" s="337"/>
      <c r="T2" s="337"/>
      <c r="U2" s="337"/>
      <c r="V2" s="337"/>
      <c r="W2" s="337"/>
      <c r="X2" s="337"/>
      <c r="Y2" s="337"/>
    </row>
    <row r="3" spans="1:25" ht="18" customHeight="1" x14ac:dyDescent="0.2">
      <c r="A3" s="224" t="s">
        <v>260</v>
      </c>
      <c r="B3" s="224" t="s">
        <v>1</v>
      </c>
      <c r="C3" s="224" t="s">
        <v>2</v>
      </c>
      <c r="D3" s="224" t="s">
        <v>3</v>
      </c>
      <c r="E3" s="224" t="s">
        <v>4</v>
      </c>
      <c r="F3" s="224" t="s">
        <v>5</v>
      </c>
      <c r="G3" s="224" t="s">
        <v>6</v>
      </c>
      <c r="H3" s="224" t="s">
        <v>7</v>
      </c>
      <c r="I3" s="224" t="s">
        <v>8</v>
      </c>
      <c r="J3" s="224" t="s">
        <v>9</v>
      </c>
      <c r="K3" s="224" t="s">
        <v>10</v>
      </c>
      <c r="L3" s="224" t="s">
        <v>11</v>
      </c>
      <c r="M3" s="325" t="s">
        <v>12</v>
      </c>
      <c r="N3" s="325" t="s">
        <v>359</v>
      </c>
      <c r="O3" s="338"/>
      <c r="P3" s="338"/>
      <c r="Q3" s="338"/>
      <c r="R3" s="338"/>
      <c r="S3" s="338"/>
      <c r="T3" s="338"/>
      <c r="U3" s="338"/>
      <c r="V3" s="338"/>
      <c r="W3" s="338"/>
      <c r="X3" s="338"/>
      <c r="Y3" s="338"/>
    </row>
    <row r="4" spans="1:25" ht="15" customHeight="1" x14ac:dyDescent="0.25">
      <c r="A4" s="218" t="s">
        <v>345</v>
      </c>
      <c r="B4" s="271">
        <f>'PlanDeVentas y FlujoDeEfectivo'!C11</f>
        <v>11845</v>
      </c>
      <c r="C4" s="271">
        <f>'PlanDeVentas y FlujoDeEfectivo'!D11</f>
        <v>10700</v>
      </c>
      <c r="D4" s="271">
        <f>'PlanDeVentas y FlujoDeEfectivo'!E11</f>
        <v>11845</v>
      </c>
      <c r="E4" s="271">
        <f>'PlanDeVentas y FlujoDeEfectivo'!F11</f>
        <v>17505</v>
      </c>
      <c r="F4" s="271">
        <f>'PlanDeVentas y FlujoDeEfectivo'!G11</f>
        <v>18127.5</v>
      </c>
      <c r="G4" s="271">
        <f>'PlanDeVentas y FlujoDeEfectivo'!H11</f>
        <v>17805</v>
      </c>
      <c r="H4" s="271">
        <f>'PlanDeVentas y FlujoDeEfectivo'!I11</f>
        <v>18082.5</v>
      </c>
      <c r="I4" s="271">
        <f>'PlanDeVentas y FlujoDeEfectivo'!J11</f>
        <v>18127.5</v>
      </c>
      <c r="J4" s="271">
        <f>'PlanDeVentas y FlujoDeEfectivo'!K11</f>
        <v>24140</v>
      </c>
      <c r="K4" s="271">
        <f>'PlanDeVentas y FlujoDeEfectivo'!L11</f>
        <v>25040</v>
      </c>
      <c r="L4" s="271">
        <f>'PlanDeVentas y FlujoDeEfectivo'!M11</f>
        <v>24270</v>
      </c>
      <c r="M4" s="326">
        <f>'PlanDeVentas y FlujoDeEfectivo'!N11</f>
        <v>25410</v>
      </c>
      <c r="N4" s="272">
        <f>SUM(B4:M4)</f>
        <v>222897.5</v>
      </c>
      <c r="O4" s="339"/>
      <c r="P4" s="339"/>
      <c r="Q4" s="339"/>
      <c r="R4" s="339"/>
      <c r="S4" s="339"/>
      <c r="T4" s="339"/>
      <c r="U4" s="339"/>
      <c r="V4" s="339"/>
      <c r="W4" s="339"/>
      <c r="X4" s="339"/>
      <c r="Y4" s="339"/>
    </row>
    <row r="5" spans="1:25" ht="15" customHeight="1" x14ac:dyDescent="0.25">
      <c r="A5" s="218" t="s">
        <v>344</v>
      </c>
      <c r="B5" s="273">
        <f>B6+B7+B8</f>
        <v>10773.5</v>
      </c>
      <c r="C5" s="273">
        <f t="shared" ref="C5:M5" si="0">C6+C7+C8</f>
        <v>10125</v>
      </c>
      <c r="D5" s="273">
        <f t="shared" si="0"/>
        <v>10773.5</v>
      </c>
      <c r="E5" s="273">
        <f t="shared" si="0"/>
        <v>14030</v>
      </c>
      <c r="F5" s="273">
        <f t="shared" si="0"/>
        <v>14264.5</v>
      </c>
      <c r="G5" s="273">
        <f t="shared" si="0"/>
        <v>14030</v>
      </c>
      <c r="H5" s="273">
        <f t="shared" si="0"/>
        <v>15509.5</v>
      </c>
      <c r="I5" s="273">
        <f t="shared" si="0"/>
        <v>15394.5</v>
      </c>
      <c r="J5" s="273">
        <f t="shared" si="0"/>
        <v>18891</v>
      </c>
      <c r="K5" s="273">
        <f t="shared" si="0"/>
        <v>19329</v>
      </c>
      <c r="L5" s="273">
        <f t="shared" si="0"/>
        <v>18863</v>
      </c>
      <c r="M5" s="327">
        <f t="shared" si="0"/>
        <v>19357</v>
      </c>
      <c r="N5" s="347">
        <f>SUM(N6:N8)</f>
        <v>181340.5</v>
      </c>
      <c r="O5" s="340"/>
      <c r="P5" s="340"/>
      <c r="Q5" s="340"/>
      <c r="R5" s="340"/>
      <c r="S5" s="340"/>
      <c r="T5" s="340"/>
      <c r="U5" s="340"/>
      <c r="V5" s="340"/>
      <c r="W5" s="340"/>
      <c r="X5" s="340"/>
      <c r="Y5" s="340"/>
    </row>
    <row r="6" spans="1:25" ht="15" customHeight="1" x14ac:dyDescent="0.2">
      <c r="A6" s="227" t="s">
        <v>267</v>
      </c>
      <c r="B6" s="275">
        <f>PlanDeEgresos!B8</f>
        <v>1950</v>
      </c>
      <c r="C6" s="275">
        <f>PlanDeEgresos!C8</f>
        <v>1950</v>
      </c>
      <c r="D6" s="275">
        <f>PlanDeEgresos!D8</f>
        <v>1950</v>
      </c>
      <c r="E6" s="275">
        <f>PlanDeEgresos!E8</f>
        <v>1950</v>
      </c>
      <c r="F6" s="275">
        <f>PlanDeEgresos!F8</f>
        <v>1950</v>
      </c>
      <c r="G6" s="275">
        <f>PlanDeEgresos!G8</f>
        <v>1950</v>
      </c>
      <c r="H6" s="275">
        <f>PlanDeEgresos!H8</f>
        <v>3080</v>
      </c>
      <c r="I6" s="275">
        <f>PlanDeEgresos!I8</f>
        <v>3080</v>
      </c>
      <c r="J6" s="275">
        <f>PlanDeEgresos!J8</f>
        <v>3080</v>
      </c>
      <c r="K6" s="275">
        <f>PlanDeEgresos!K8</f>
        <v>3080</v>
      </c>
      <c r="L6" s="275">
        <f>PlanDeEgresos!L8</f>
        <v>3080</v>
      </c>
      <c r="M6" s="328">
        <f>PlanDeEgresos!M8</f>
        <v>3080</v>
      </c>
      <c r="N6" s="272">
        <f t="shared" ref="N6:N15" si="1">SUM(B6:M6)</f>
        <v>30180</v>
      </c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</row>
    <row r="7" spans="1:25" ht="15" customHeight="1" x14ac:dyDescent="0.2">
      <c r="A7" s="228" t="s">
        <v>291</v>
      </c>
      <c r="B7" s="275">
        <f>PlanDeEgresos!B7</f>
        <v>6768.5</v>
      </c>
      <c r="C7" s="275">
        <f>PlanDeEgresos!C7</f>
        <v>6120</v>
      </c>
      <c r="D7" s="275">
        <f>PlanDeEgresos!D7</f>
        <v>6768.5</v>
      </c>
      <c r="E7" s="275">
        <f>PlanDeEgresos!E7</f>
        <v>10025</v>
      </c>
      <c r="F7" s="275">
        <f>PlanDeEgresos!F7</f>
        <v>10259.5</v>
      </c>
      <c r="G7" s="275">
        <f>PlanDeEgresos!G7</f>
        <v>10025</v>
      </c>
      <c r="H7" s="275">
        <f>PlanDeEgresos!H7</f>
        <v>10374.5</v>
      </c>
      <c r="I7" s="275">
        <f>PlanDeEgresos!I7</f>
        <v>10259.5</v>
      </c>
      <c r="J7" s="275">
        <f>PlanDeEgresos!J7</f>
        <v>13756</v>
      </c>
      <c r="K7" s="275">
        <f>PlanDeEgresos!K7</f>
        <v>14194</v>
      </c>
      <c r="L7" s="275">
        <f>PlanDeEgresos!L7</f>
        <v>13728</v>
      </c>
      <c r="M7" s="328">
        <f>PlanDeEgresos!M7</f>
        <v>14222</v>
      </c>
      <c r="N7" s="272">
        <f t="shared" si="1"/>
        <v>126500.5</v>
      </c>
      <c r="O7" s="341"/>
      <c r="P7" s="350"/>
      <c r="Q7" s="341"/>
      <c r="R7" s="341"/>
      <c r="S7" s="341"/>
      <c r="T7" s="341"/>
      <c r="U7" s="341"/>
      <c r="V7" s="341"/>
      <c r="W7" s="341"/>
      <c r="X7" s="341"/>
      <c r="Y7" s="341"/>
    </row>
    <row r="8" spans="1:25" ht="15" customHeight="1" x14ac:dyDescent="0.2">
      <c r="A8" s="228" t="s">
        <v>343</v>
      </c>
      <c r="B8" s="275">
        <f>PlanDeEgresos!B10</f>
        <v>2055</v>
      </c>
      <c r="C8" s="275">
        <f>PlanDeEgresos!C10</f>
        <v>2055</v>
      </c>
      <c r="D8" s="275">
        <f>PlanDeEgresos!D10</f>
        <v>2055</v>
      </c>
      <c r="E8" s="275">
        <f>PlanDeEgresos!E10</f>
        <v>2055</v>
      </c>
      <c r="F8" s="275">
        <f>PlanDeEgresos!F10</f>
        <v>2055</v>
      </c>
      <c r="G8" s="275">
        <f>PlanDeEgresos!G10</f>
        <v>2055</v>
      </c>
      <c r="H8" s="275">
        <f>PlanDeEgresos!H10</f>
        <v>2055</v>
      </c>
      <c r="I8" s="275">
        <f>PlanDeEgresos!I10</f>
        <v>2055</v>
      </c>
      <c r="J8" s="275">
        <f>PlanDeEgresos!J10</f>
        <v>2055</v>
      </c>
      <c r="K8" s="275">
        <f>PlanDeEgresos!K10</f>
        <v>2055</v>
      </c>
      <c r="L8" s="275">
        <f>PlanDeEgresos!L10</f>
        <v>2055</v>
      </c>
      <c r="M8" s="328">
        <f>PlanDeEgresos!M10</f>
        <v>2055</v>
      </c>
      <c r="N8" s="272">
        <f t="shared" si="1"/>
        <v>24660</v>
      </c>
      <c r="O8" s="341"/>
      <c r="P8" s="341"/>
      <c r="Q8" s="341"/>
      <c r="R8" s="341"/>
      <c r="S8" s="341"/>
      <c r="T8" s="341"/>
      <c r="U8" s="341"/>
      <c r="V8" s="341"/>
      <c r="W8" s="341"/>
      <c r="X8" s="341"/>
      <c r="Y8" s="341"/>
    </row>
    <row r="9" spans="1:25" ht="15" customHeight="1" x14ac:dyDescent="0.25">
      <c r="A9" s="206" t="s">
        <v>346</v>
      </c>
      <c r="B9" s="273">
        <f t="shared" ref="B9:M9" si="2">+B4-B5</f>
        <v>1071.5</v>
      </c>
      <c r="C9" s="273">
        <f t="shared" si="2"/>
        <v>575</v>
      </c>
      <c r="D9" s="273">
        <f t="shared" si="2"/>
        <v>1071.5</v>
      </c>
      <c r="E9" s="273">
        <f t="shared" si="2"/>
        <v>3475</v>
      </c>
      <c r="F9" s="273">
        <f t="shared" si="2"/>
        <v>3863</v>
      </c>
      <c r="G9" s="273">
        <f t="shared" si="2"/>
        <v>3775</v>
      </c>
      <c r="H9" s="273">
        <f t="shared" si="2"/>
        <v>2573</v>
      </c>
      <c r="I9" s="273">
        <f t="shared" si="2"/>
        <v>2733</v>
      </c>
      <c r="J9" s="273">
        <f t="shared" si="2"/>
        <v>5249</v>
      </c>
      <c r="K9" s="273">
        <f t="shared" si="2"/>
        <v>5711</v>
      </c>
      <c r="L9" s="273">
        <f t="shared" si="2"/>
        <v>5407</v>
      </c>
      <c r="M9" s="327">
        <f t="shared" si="2"/>
        <v>6053</v>
      </c>
      <c r="N9" s="347">
        <f>N4-N5</f>
        <v>41557</v>
      </c>
      <c r="O9" s="340"/>
      <c r="P9" s="340"/>
      <c r="Q9" s="340"/>
      <c r="R9" s="340"/>
      <c r="S9" s="340"/>
      <c r="T9" s="340"/>
      <c r="U9" s="340"/>
      <c r="V9" s="340"/>
      <c r="W9" s="340"/>
      <c r="X9" s="340"/>
      <c r="Y9" s="340"/>
    </row>
    <row r="10" spans="1:25" ht="15" customHeight="1" x14ac:dyDescent="0.2">
      <c r="A10" s="228" t="s">
        <v>347</v>
      </c>
      <c r="B10" s="275">
        <v>1000</v>
      </c>
      <c r="C10" s="275">
        <v>1000</v>
      </c>
      <c r="D10" s="275">
        <v>1000</v>
      </c>
      <c r="E10" s="275">
        <v>1000</v>
      </c>
      <c r="F10" s="275">
        <v>1000</v>
      </c>
      <c r="G10" s="275">
        <v>1000</v>
      </c>
      <c r="H10" s="275">
        <v>1000</v>
      </c>
      <c r="I10" s="275">
        <v>1000</v>
      </c>
      <c r="J10" s="275">
        <v>1000</v>
      </c>
      <c r="K10" s="275">
        <v>1000</v>
      </c>
      <c r="L10" s="275">
        <v>1000</v>
      </c>
      <c r="M10" s="275">
        <v>1000</v>
      </c>
      <c r="N10" s="272">
        <f>SUM(B10:M10)</f>
        <v>12000</v>
      </c>
      <c r="O10" s="341"/>
      <c r="P10" s="341"/>
      <c r="Q10" s="341"/>
      <c r="R10" s="341"/>
      <c r="S10" s="341"/>
      <c r="T10" s="341"/>
      <c r="U10" s="341"/>
      <c r="V10" s="341"/>
      <c r="W10" s="341"/>
      <c r="X10" s="341"/>
      <c r="Y10" s="341"/>
    </row>
    <row r="11" spans="1:25" ht="15" customHeight="1" x14ac:dyDescent="0.25">
      <c r="A11" s="206" t="s">
        <v>295</v>
      </c>
      <c r="B11" s="273">
        <f t="shared" ref="B11:M11" si="3">+B9-B10</f>
        <v>71.5</v>
      </c>
      <c r="C11" s="273">
        <f t="shared" si="3"/>
        <v>-425</v>
      </c>
      <c r="D11" s="273">
        <f t="shared" si="3"/>
        <v>71.5</v>
      </c>
      <c r="E11" s="273">
        <f t="shared" si="3"/>
        <v>2475</v>
      </c>
      <c r="F11" s="273">
        <f t="shared" si="3"/>
        <v>2863</v>
      </c>
      <c r="G11" s="273">
        <f t="shared" si="3"/>
        <v>2775</v>
      </c>
      <c r="H11" s="273">
        <f t="shared" si="3"/>
        <v>1573</v>
      </c>
      <c r="I11" s="273">
        <f t="shared" si="3"/>
        <v>1733</v>
      </c>
      <c r="J11" s="273">
        <f t="shared" si="3"/>
        <v>4249</v>
      </c>
      <c r="K11" s="273">
        <f t="shared" si="3"/>
        <v>4711</v>
      </c>
      <c r="L11" s="273">
        <f t="shared" si="3"/>
        <v>4407</v>
      </c>
      <c r="M11" s="327">
        <f t="shared" si="3"/>
        <v>5053</v>
      </c>
      <c r="N11" s="347">
        <f>N9-N10</f>
        <v>29557</v>
      </c>
      <c r="O11" s="340"/>
      <c r="P11" s="340"/>
      <c r="Q11" s="340"/>
      <c r="R11" s="340"/>
      <c r="S11" s="340"/>
      <c r="T11" s="340"/>
      <c r="U11" s="340"/>
      <c r="V11" s="340"/>
      <c r="W11" s="340"/>
      <c r="X11" s="340"/>
      <c r="Y11" s="340"/>
    </row>
    <row r="12" spans="1:25" ht="15" customHeight="1" x14ac:dyDescent="0.2">
      <c r="A12" s="228" t="s">
        <v>288</v>
      </c>
      <c r="B12" s="275">
        <f>EsquemaFinanciero!B39</f>
        <v>330</v>
      </c>
      <c r="C12" s="275">
        <f>EsquemaFinanciero!C39</f>
        <v>306.74751179392217</v>
      </c>
      <c r="D12" s="275">
        <f>EsquemaFinanciero!D39</f>
        <v>282.79744894166203</v>
      </c>
      <c r="E12" s="275">
        <f>EsquemaFinanciero!E39</f>
        <v>258.1288842038341</v>
      </c>
      <c r="F12" s="275">
        <f>EsquemaFinanciero!F39</f>
        <v>232.72026252387133</v>
      </c>
      <c r="G12" s="275">
        <f>EsquemaFinanciero!G39</f>
        <v>206.54938219350964</v>
      </c>
      <c r="H12" s="275">
        <f>EsquemaFinanciero!H39</f>
        <v>179.59337545323714</v>
      </c>
      <c r="I12" s="275">
        <f>EsquemaFinanciero!I39</f>
        <v>151.82868851075642</v>
      </c>
      <c r="J12" s="275">
        <f>EsquemaFinanciero!J39</f>
        <v>123.23106096000132</v>
      </c>
      <c r="K12" s="275">
        <f>EsquemaFinanciero!K39</f>
        <v>93.775504582723528</v>
      </c>
      <c r="L12" s="275">
        <f>EsquemaFinanciero!L39</f>
        <v>63.436281514127423</v>
      </c>
      <c r="M12" s="328">
        <f>EsquemaFinanciero!M39</f>
        <v>32.186881753473429</v>
      </c>
      <c r="N12" s="272">
        <f t="shared" si="1"/>
        <v>2260.9952824311185</v>
      </c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</row>
    <row r="13" spans="1:25" ht="15" customHeight="1" x14ac:dyDescent="0.2">
      <c r="A13" s="228" t="s">
        <v>289</v>
      </c>
      <c r="B13" s="275">
        <f>PlanDeEgresos!B15</f>
        <v>1320.2805555555556</v>
      </c>
      <c r="C13" s="275">
        <f>PlanDeEgresos!C15</f>
        <v>1320.2805555555556</v>
      </c>
      <c r="D13" s="275">
        <f>PlanDeEgresos!D15</f>
        <v>1320.2805555555556</v>
      </c>
      <c r="E13" s="275">
        <f>PlanDeEgresos!E15</f>
        <v>1320.2805555555556</v>
      </c>
      <c r="F13" s="275">
        <f>PlanDeEgresos!F15</f>
        <v>1320.2805555555556</v>
      </c>
      <c r="G13" s="275">
        <f>PlanDeEgresos!G15</f>
        <v>1320.2805555555556</v>
      </c>
      <c r="H13" s="275">
        <f>PlanDeEgresos!H15</f>
        <v>1320.2805555555556</v>
      </c>
      <c r="I13" s="275">
        <f>PlanDeEgresos!I15</f>
        <v>1320.2805555555556</v>
      </c>
      <c r="J13" s="275">
        <f>PlanDeEgresos!J15</f>
        <v>1320.2805555555556</v>
      </c>
      <c r="K13" s="275">
        <f>PlanDeEgresos!K15</f>
        <v>1320.2805555555556</v>
      </c>
      <c r="L13" s="275">
        <f>PlanDeEgresos!L15</f>
        <v>1320.2805555555556</v>
      </c>
      <c r="M13" s="328">
        <f>PlanDeEgresos!M15</f>
        <v>1320.2805555555556</v>
      </c>
      <c r="N13" s="272">
        <f t="shared" si="1"/>
        <v>15843.366666666663</v>
      </c>
      <c r="O13" s="341"/>
      <c r="P13" s="341"/>
      <c r="Q13" s="341"/>
      <c r="R13" s="341"/>
      <c r="S13" s="341"/>
      <c r="T13" s="341"/>
      <c r="U13" s="341"/>
      <c r="V13" s="341"/>
      <c r="W13" s="341"/>
      <c r="X13" s="341"/>
      <c r="Y13" s="341"/>
    </row>
    <row r="14" spans="1:25" ht="15" customHeight="1" x14ac:dyDescent="0.25">
      <c r="A14" s="222" t="s">
        <v>296</v>
      </c>
      <c r="B14" s="273">
        <f>+B11-B12-B13</f>
        <v>-1578.7805555555556</v>
      </c>
      <c r="C14" s="273">
        <f t="shared" ref="C14:M14" si="4">+C11-C12-C13</f>
        <v>-2052.0280673494776</v>
      </c>
      <c r="D14" s="273">
        <f t="shared" si="4"/>
        <v>-1531.5780044972175</v>
      </c>
      <c r="E14" s="273">
        <f t="shared" si="4"/>
        <v>896.59056024061056</v>
      </c>
      <c r="F14" s="273">
        <f t="shared" si="4"/>
        <v>1309.9991819205729</v>
      </c>
      <c r="G14" s="273">
        <f t="shared" si="4"/>
        <v>1248.1700622509347</v>
      </c>
      <c r="H14" s="273">
        <f t="shared" si="4"/>
        <v>73.126068991207376</v>
      </c>
      <c r="I14" s="273">
        <f t="shared" si="4"/>
        <v>260.89075593368807</v>
      </c>
      <c r="J14" s="273">
        <f t="shared" si="4"/>
        <v>2805.4883834844427</v>
      </c>
      <c r="K14" s="273">
        <f t="shared" si="4"/>
        <v>3296.943939861721</v>
      </c>
      <c r="L14" s="273">
        <f t="shared" si="4"/>
        <v>3023.2831629303168</v>
      </c>
      <c r="M14" s="327">
        <f t="shared" si="4"/>
        <v>3700.5325626909712</v>
      </c>
      <c r="N14" s="347">
        <f>N11-N12-N13</f>
        <v>11452.638050902218</v>
      </c>
      <c r="O14" s="340"/>
      <c r="P14" s="340"/>
      <c r="Q14" s="340"/>
      <c r="R14" s="340"/>
      <c r="S14" s="340"/>
      <c r="T14" s="340"/>
      <c r="U14" s="340"/>
      <c r="V14" s="340"/>
      <c r="W14" s="340"/>
      <c r="X14" s="340"/>
      <c r="Y14" s="340"/>
    </row>
    <row r="15" spans="1:25" ht="15" customHeight="1" x14ac:dyDescent="0.2">
      <c r="A15" s="227" t="s">
        <v>302</v>
      </c>
      <c r="B15" s="275">
        <v>20</v>
      </c>
      <c r="C15" s="275">
        <v>20</v>
      </c>
      <c r="D15" s="275">
        <v>20</v>
      </c>
      <c r="E15" s="275">
        <v>20</v>
      </c>
      <c r="F15" s="275">
        <v>20</v>
      </c>
      <c r="G15" s="275">
        <v>20</v>
      </c>
      <c r="H15" s="275">
        <v>20</v>
      </c>
      <c r="I15" s="275">
        <v>20</v>
      </c>
      <c r="J15" s="275">
        <v>20</v>
      </c>
      <c r="K15" s="275">
        <v>20</v>
      </c>
      <c r="L15" s="275">
        <v>20</v>
      </c>
      <c r="M15" s="328">
        <v>20</v>
      </c>
      <c r="N15" s="272">
        <f t="shared" si="1"/>
        <v>240</v>
      </c>
      <c r="O15" s="341"/>
      <c r="P15" s="341"/>
      <c r="Q15" s="341"/>
      <c r="R15" s="341"/>
      <c r="S15" s="341"/>
      <c r="T15" s="341"/>
      <c r="U15" s="341"/>
      <c r="V15" s="341"/>
      <c r="W15" s="341"/>
      <c r="X15" s="341"/>
      <c r="Y15" s="341"/>
    </row>
    <row r="16" spans="1:25" ht="15" customHeight="1" x14ac:dyDescent="0.2">
      <c r="A16" s="229" t="s">
        <v>290</v>
      </c>
      <c r="B16" s="276">
        <f>B14-B15</f>
        <v>-1598.7805555555556</v>
      </c>
      <c r="C16" s="276">
        <f t="shared" ref="C16:M16" si="5">C14-C15</f>
        <v>-2072.0280673494776</v>
      </c>
      <c r="D16" s="276">
        <f t="shared" si="5"/>
        <v>-1551.5780044972175</v>
      </c>
      <c r="E16" s="276">
        <f t="shared" si="5"/>
        <v>876.59056024061056</v>
      </c>
      <c r="F16" s="276">
        <f t="shared" si="5"/>
        <v>1289.9991819205729</v>
      </c>
      <c r="G16" s="276">
        <f t="shared" si="5"/>
        <v>1228.1700622509347</v>
      </c>
      <c r="H16" s="276">
        <f t="shared" si="5"/>
        <v>53.126068991207376</v>
      </c>
      <c r="I16" s="276">
        <f t="shared" si="5"/>
        <v>240.89075593368807</v>
      </c>
      <c r="J16" s="276">
        <f t="shared" si="5"/>
        <v>2785.4883834844427</v>
      </c>
      <c r="K16" s="276">
        <f t="shared" si="5"/>
        <v>3276.943939861721</v>
      </c>
      <c r="L16" s="276">
        <f t="shared" si="5"/>
        <v>3003.2831629303168</v>
      </c>
      <c r="M16" s="329">
        <f t="shared" si="5"/>
        <v>3680.5325626909712</v>
      </c>
      <c r="N16" s="347">
        <f>N14-N15</f>
        <v>11212.638050902218</v>
      </c>
      <c r="O16" s="340"/>
      <c r="P16" s="340"/>
      <c r="Q16" s="340"/>
      <c r="R16" s="340"/>
      <c r="S16" s="340"/>
      <c r="T16" s="340"/>
      <c r="U16" s="340"/>
      <c r="V16" s="340"/>
      <c r="W16" s="340"/>
      <c r="X16" s="340"/>
      <c r="Y16" s="340"/>
    </row>
    <row r="17" spans="1:25" ht="15" customHeight="1" x14ac:dyDescent="0.25">
      <c r="A17" s="206" t="s">
        <v>360</v>
      </c>
      <c r="B17" s="274">
        <f>B16</f>
        <v>-1598.7805555555556</v>
      </c>
      <c r="C17" s="274">
        <f>B17+C16</f>
        <v>-3670.8086229050332</v>
      </c>
      <c r="D17" s="274">
        <f t="shared" ref="D17:N17" si="6">C17+D16</f>
        <v>-5222.3866274022512</v>
      </c>
      <c r="E17" s="274">
        <f t="shared" si="6"/>
        <v>-4345.7960671616402</v>
      </c>
      <c r="F17" s="274">
        <f t="shared" si="6"/>
        <v>-3055.7968852410672</v>
      </c>
      <c r="G17" s="274">
        <f t="shared" si="6"/>
        <v>-1827.6268229901325</v>
      </c>
      <c r="H17" s="274">
        <f t="shared" si="6"/>
        <v>-1774.5007539989251</v>
      </c>
      <c r="I17" s="274">
        <f t="shared" si="6"/>
        <v>-1533.6099980652371</v>
      </c>
      <c r="J17" s="274">
        <f t="shared" si="6"/>
        <v>1251.8783854192056</v>
      </c>
      <c r="K17" s="274">
        <f t="shared" si="6"/>
        <v>4528.8223252809266</v>
      </c>
      <c r="L17" s="274">
        <f t="shared" si="6"/>
        <v>7532.1054882112439</v>
      </c>
      <c r="M17" s="330">
        <f t="shared" si="6"/>
        <v>11212.638050902215</v>
      </c>
      <c r="N17" s="330">
        <f t="shared" si="6"/>
        <v>22425.276101804433</v>
      </c>
      <c r="O17" s="340"/>
      <c r="P17" s="340"/>
      <c r="Q17" s="340"/>
      <c r="R17" s="340"/>
      <c r="S17" s="340"/>
      <c r="T17" s="340"/>
      <c r="U17" s="340"/>
      <c r="V17" s="340"/>
      <c r="W17" s="340"/>
      <c r="X17" s="340"/>
      <c r="Y17" s="340"/>
    </row>
    <row r="18" spans="1:25" ht="15" customHeight="1" x14ac:dyDescent="0.2">
      <c r="A18" s="226" t="s">
        <v>303</v>
      </c>
      <c r="B18" s="225">
        <f t="shared" ref="B18:M18" si="7">B16/B4*100</f>
        <v>-13.497514187889875</v>
      </c>
      <c r="C18" s="225">
        <f t="shared" si="7"/>
        <v>-19.364748292985773</v>
      </c>
      <c r="D18" s="225">
        <f t="shared" si="7"/>
        <v>-13.099012279419311</v>
      </c>
      <c r="E18" s="225">
        <f t="shared" si="7"/>
        <v>5.0076581561874356</v>
      </c>
      <c r="F18" s="225">
        <f>F16/F4*100</f>
        <v>7.1162553133116706</v>
      </c>
      <c r="G18" s="225">
        <f t="shared" si="7"/>
        <v>6.8978941996682659</v>
      </c>
      <c r="H18" s="225">
        <f t="shared" si="7"/>
        <v>0.29379825240540508</v>
      </c>
      <c r="I18" s="225">
        <f t="shared" si="7"/>
        <v>1.3288691542335571</v>
      </c>
      <c r="J18" s="225">
        <f t="shared" si="7"/>
        <v>11.538891398030003</v>
      </c>
      <c r="K18" s="225">
        <f t="shared" si="7"/>
        <v>13.086836820534028</v>
      </c>
      <c r="L18" s="225">
        <f t="shared" si="7"/>
        <v>12.374467090771804</v>
      </c>
      <c r="M18" s="331">
        <f t="shared" si="7"/>
        <v>14.484583088118738</v>
      </c>
      <c r="N18" s="347"/>
      <c r="O18" s="342"/>
      <c r="P18" s="342"/>
      <c r="Q18" s="342"/>
      <c r="R18" s="342"/>
      <c r="S18" s="342"/>
      <c r="T18" s="342"/>
      <c r="U18" s="342"/>
      <c r="V18" s="342"/>
      <c r="W18" s="342"/>
      <c r="X18" s="342"/>
      <c r="Y18" s="342"/>
    </row>
    <row r="20" spans="1:25" hidden="1" x14ac:dyDescent="0.2">
      <c r="B20" s="231">
        <f>B25/B22</f>
        <v>0.57142254115660618</v>
      </c>
    </row>
    <row r="21" spans="1:25" ht="12" hidden="1" x14ac:dyDescent="0.2">
      <c r="A21" s="224" t="s">
        <v>260</v>
      </c>
      <c r="B21" s="224" t="s">
        <v>1</v>
      </c>
      <c r="C21" s="224" t="s">
        <v>2</v>
      </c>
      <c r="D21" s="224" t="s">
        <v>3</v>
      </c>
      <c r="E21" s="224" t="s">
        <v>4</v>
      </c>
      <c r="F21" s="224" t="s">
        <v>5</v>
      </c>
      <c r="G21" s="224" t="s">
        <v>6</v>
      </c>
      <c r="H21" s="224" t="s">
        <v>7</v>
      </c>
      <c r="I21" s="224" t="s">
        <v>8</v>
      </c>
      <c r="J21" s="224" t="s">
        <v>9</v>
      </c>
      <c r="K21" s="224" t="s">
        <v>10</v>
      </c>
      <c r="L21" s="224" t="s">
        <v>11</v>
      </c>
      <c r="M21" s="325" t="s">
        <v>12</v>
      </c>
      <c r="N21" s="338"/>
      <c r="O21" s="338"/>
      <c r="P21" s="338"/>
      <c r="Q21" s="338"/>
      <c r="R21" s="338"/>
      <c r="S21" s="338"/>
      <c r="T21" s="338"/>
      <c r="U21" s="338"/>
      <c r="V21" s="338"/>
      <c r="W21" s="338"/>
      <c r="X21" s="338"/>
      <c r="Y21" s="338"/>
    </row>
    <row r="22" spans="1:25" ht="18" hidden="1" customHeight="1" x14ac:dyDescent="0.25">
      <c r="A22" s="218" t="s">
        <v>292</v>
      </c>
      <c r="B22" s="219">
        <f t="shared" ref="B22:M22" si="8">B4</f>
        <v>11845</v>
      </c>
      <c r="C22" s="219">
        <f t="shared" si="8"/>
        <v>10700</v>
      </c>
      <c r="D22" s="219">
        <f t="shared" si="8"/>
        <v>11845</v>
      </c>
      <c r="E22" s="219">
        <f t="shared" si="8"/>
        <v>17505</v>
      </c>
      <c r="F22" s="219">
        <f t="shared" si="8"/>
        <v>18127.5</v>
      </c>
      <c r="G22" s="219">
        <f t="shared" si="8"/>
        <v>17805</v>
      </c>
      <c r="H22" s="219">
        <f t="shared" si="8"/>
        <v>18082.5</v>
      </c>
      <c r="I22" s="219">
        <f t="shared" si="8"/>
        <v>18127.5</v>
      </c>
      <c r="J22" s="219">
        <f t="shared" si="8"/>
        <v>24140</v>
      </c>
      <c r="K22" s="219">
        <f t="shared" si="8"/>
        <v>25040</v>
      </c>
      <c r="L22" s="219">
        <f t="shared" si="8"/>
        <v>24270</v>
      </c>
      <c r="M22" s="332">
        <f t="shared" si="8"/>
        <v>25410</v>
      </c>
      <c r="N22" s="344"/>
      <c r="O22" s="344"/>
      <c r="P22" s="344"/>
      <c r="Q22" s="344"/>
      <c r="R22" s="344"/>
      <c r="S22" s="344"/>
      <c r="T22" s="344"/>
      <c r="U22" s="344"/>
      <c r="V22" s="344"/>
      <c r="W22" s="344"/>
      <c r="X22" s="344"/>
      <c r="Y22" s="344"/>
    </row>
    <row r="23" spans="1:25" ht="18" hidden="1" customHeight="1" x14ac:dyDescent="0.25">
      <c r="A23" s="218" t="s">
        <v>293</v>
      </c>
      <c r="B23" s="220">
        <f>B24+B25+B26</f>
        <v>11803.5</v>
      </c>
      <c r="C23" s="220">
        <f t="shared" ref="C23:M23" si="9">C24+C25+C26</f>
        <v>116601.1875</v>
      </c>
      <c r="D23" s="220">
        <f t="shared" si="9"/>
        <v>128261.30625000002</v>
      </c>
      <c r="E23" s="220">
        <f t="shared" si="9"/>
        <v>147500.50218749998</v>
      </c>
      <c r="F23" s="220">
        <f t="shared" si="9"/>
        <v>177000.602625</v>
      </c>
      <c r="G23" s="220" t="e">
        <f t="shared" si="9"/>
        <v>#REF!</v>
      </c>
      <c r="H23" s="220" t="e">
        <f t="shared" si="9"/>
        <v>#REF!</v>
      </c>
      <c r="I23" s="220" t="e">
        <f t="shared" si="9"/>
        <v>#REF!</v>
      </c>
      <c r="J23" s="220" t="e">
        <f t="shared" si="9"/>
        <v>#REF!</v>
      </c>
      <c r="K23" s="220" t="e">
        <f t="shared" si="9"/>
        <v>#REF!</v>
      </c>
      <c r="L23" s="220" t="e">
        <f t="shared" si="9"/>
        <v>#REF!</v>
      </c>
      <c r="M23" s="220" t="e">
        <f t="shared" si="9"/>
        <v>#REF!</v>
      </c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</row>
    <row r="24" spans="1:25" ht="18" hidden="1" customHeight="1" x14ac:dyDescent="0.2">
      <c r="A24" s="227" t="s">
        <v>267</v>
      </c>
      <c r="B24" s="255">
        <f>1300+850+380+660</f>
        <v>3190</v>
      </c>
      <c r="C24" s="221"/>
      <c r="D24" s="221"/>
      <c r="E24" s="221"/>
      <c r="F24" s="221"/>
      <c r="G24" s="221" t="e">
        <f>PlanDeEgresos!#REF!</f>
        <v>#REF!</v>
      </c>
      <c r="H24" s="221" t="e">
        <f>PlanDeEgresos!#REF!</f>
        <v>#REF!</v>
      </c>
      <c r="I24" s="221" t="e">
        <f>PlanDeEgresos!#REF!</f>
        <v>#REF!</v>
      </c>
      <c r="J24" s="221" t="e">
        <f>PlanDeEgresos!#REF!</f>
        <v>#REF!</v>
      </c>
      <c r="K24" s="221" t="e">
        <f>PlanDeEgresos!#REF!</f>
        <v>#REF!</v>
      </c>
      <c r="L24" s="221" t="e">
        <f>PlanDeEgresos!#REF!</f>
        <v>#REF!</v>
      </c>
      <c r="M24" s="334" t="e">
        <f>PlanDeEgresos!#REF!</f>
        <v>#REF!</v>
      </c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</row>
    <row r="25" spans="1:25" ht="18" hidden="1" customHeight="1" x14ac:dyDescent="0.2">
      <c r="A25" s="228" t="s">
        <v>291</v>
      </c>
      <c r="B25" s="221">
        <f>B7</f>
        <v>6768.5</v>
      </c>
      <c r="C25" s="221">
        <f>PlanDeEgresos!D23</f>
        <v>116601.1875</v>
      </c>
      <c r="D25" s="221">
        <f>PlanDeEgresos!E23</f>
        <v>128261.30625000002</v>
      </c>
      <c r="E25" s="221">
        <f>PlanDeEgresos!F23</f>
        <v>147500.50218749998</v>
      </c>
      <c r="F25" s="221">
        <f>PlanDeEgresos!G23</f>
        <v>177000.602625</v>
      </c>
      <c r="G25" s="221" t="e">
        <f>PlanDeEgresos!#REF!</f>
        <v>#REF!</v>
      </c>
      <c r="H25" s="221">
        <f>PlanDeEgresos!H23</f>
        <v>0</v>
      </c>
      <c r="I25" s="221">
        <f>PlanDeEgresos!I23</f>
        <v>0</v>
      </c>
      <c r="J25" s="221">
        <f>PlanDeEgresos!J23</f>
        <v>0</v>
      </c>
      <c r="K25" s="221">
        <f>PlanDeEgresos!K23</f>
        <v>0</v>
      </c>
      <c r="L25" s="221">
        <f>PlanDeEgresos!L23</f>
        <v>0</v>
      </c>
      <c r="M25" s="334">
        <f>PlanDeEgresos!M23</f>
        <v>0</v>
      </c>
      <c r="N25" s="346"/>
      <c r="O25" s="346"/>
      <c r="P25" s="346"/>
      <c r="Q25" s="346"/>
      <c r="R25" s="346"/>
      <c r="S25" s="346"/>
      <c r="T25" s="346"/>
      <c r="U25" s="346"/>
      <c r="V25" s="346"/>
      <c r="W25" s="346"/>
      <c r="X25" s="346"/>
      <c r="Y25" s="346"/>
    </row>
    <row r="26" spans="1:25" ht="18" hidden="1" customHeight="1" x14ac:dyDescent="0.2">
      <c r="A26" s="228" t="s">
        <v>286</v>
      </c>
      <c r="B26" s="255">
        <f>1350+150+250+55+40</f>
        <v>1845</v>
      </c>
      <c r="C26" s="221"/>
      <c r="D26" s="221"/>
      <c r="E26" s="221"/>
      <c r="F26" s="221"/>
      <c r="G26" s="221" t="e">
        <f>PlanDeEgresos!#REF!</f>
        <v>#REF!</v>
      </c>
      <c r="H26" s="221" t="e">
        <f>PlanDeEgresos!#REF!</f>
        <v>#REF!</v>
      </c>
      <c r="I26" s="221" t="e">
        <f>PlanDeEgresos!#REF!</f>
        <v>#REF!</v>
      </c>
      <c r="J26" s="221" t="e">
        <f>PlanDeEgresos!#REF!</f>
        <v>#REF!</v>
      </c>
      <c r="K26" s="221" t="e">
        <f>PlanDeEgresos!#REF!</f>
        <v>#REF!</v>
      </c>
      <c r="L26" s="221" t="e">
        <f>PlanDeEgresos!#REF!</f>
        <v>#REF!</v>
      </c>
      <c r="M26" s="334" t="e">
        <f>PlanDeEgresos!#REF!</f>
        <v>#REF!</v>
      </c>
      <c r="N26" s="346"/>
      <c r="O26" s="346"/>
      <c r="P26" s="346"/>
      <c r="Q26" s="346"/>
      <c r="R26" s="346"/>
      <c r="S26" s="346"/>
      <c r="T26" s="346"/>
      <c r="U26" s="346"/>
      <c r="V26" s="346"/>
      <c r="W26" s="346"/>
      <c r="X26" s="346"/>
      <c r="Y26" s="346"/>
    </row>
    <row r="27" spans="1:25" ht="18" hidden="1" customHeight="1" x14ac:dyDescent="0.25">
      <c r="A27" s="206" t="s">
        <v>294</v>
      </c>
      <c r="B27" s="220">
        <f>+B22-B23</f>
        <v>41.5</v>
      </c>
      <c r="C27" s="220">
        <f t="shared" ref="C27:M27" si="10">+C22-C23</f>
        <v>-105901.1875</v>
      </c>
      <c r="D27" s="220">
        <f t="shared" si="10"/>
        <v>-116416.30625000002</v>
      </c>
      <c r="E27" s="220">
        <f t="shared" si="10"/>
        <v>-129995.50218749998</v>
      </c>
      <c r="F27" s="220">
        <f t="shared" si="10"/>
        <v>-158873.102625</v>
      </c>
      <c r="G27" s="220" t="e">
        <f t="shared" si="10"/>
        <v>#REF!</v>
      </c>
      <c r="H27" s="220" t="e">
        <f t="shared" si="10"/>
        <v>#REF!</v>
      </c>
      <c r="I27" s="220" t="e">
        <f t="shared" si="10"/>
        <v>#REF!</v>
      </c>
      <c r="J27" s="220" t="e">
        <f t="shared" si="10"/>
        <v>#REF!</v>
      </c>
      <c r="K27" s="220" t="e">
        <f t="shared" si="10"/>
        <v>#REF!</v>
      </c>
      <c r="L27" s="220" t="e">
        <f t="shared" si="10"/>
        <v>#REF!</v>
      </c>
      <c r="M27" s="333" t="e">
        <f t="shared" si="10"/>
        <v>#REF!</v>
      </c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</row>
    <row r="28" spans="1:25" ht="18" hidden="1" customHeight="1" x14ac:dyDescent="0.2">
      <c r="A28" s="228" t="s">
        <v>287</v>
      </c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334"/>
      <c r="N28" s="346"/>
      <c r="O28" s="346"/>
      <c r="P28" s="346"/>
      <c r="Q28" s="346"/>
      <c r="R28" s="346"/>
      <c r="S28" s="346"/>
      <c r="T28" s="346"/>
      <c r="U28" s="346"/>
      <c r="V28" s="346"/>
      <c r="W28" s="346"/>
      <c r="X28" s="346"/>
      <c r="Y28" s="346"/>
    </row>
    <row r="29" spans="1:25" ht="18" hidden="1" customHeight="1" x14ac:dyDescent="0.25">
      <c r="A29" s="206" t="s">
        <v>295</v>
      </c>
      <c r="B29" s="220">
        <f t="shared" ref="B29:M29" si="11">+B27-B28</f>
        <v>41.5</v>
      </c>
      <c r="C29" s="220">
        <f t="shared" si="11"/>
        <v>-105901.1875</v>
      </c>
      <c r="D29" s="220">
        <f t="shared" si="11"/>
        <v>-116416.30625000002</v>
      </c>
      <c r="E29" s="220">
        <f t="shared" si="11"/>
        <v>-129995.50218749998</v>
      </c>
      <c r="F29" s="220">
        <f t="shared" si="11"/>
        <v>-158873.102625</v>
      </c>
      <c r="G29" s="220" t="e">
        <f t="shared" si="11"/>
        <v>#REF!</v>
      </c>
      <c r="H29" s="220" t="e">
        <f t="shared" si="11"/>
        <v>#REF!</v>
      </c>
      <c r="I29" s="220" t="e">
        <f t="shared" si="11"/>
        <v>#REF!</v>
      </c>
      <c r="J29" s="220" t="e">
        <f t="shared" si="11"/>
        <v>#REF!</v>
      </c>
      <c r="K29" s="220" t="e">
        <f t="shared" si="11"/>
        <v>#REF!</v>
      </c>
      <c r="L29" s="220" t="e">
        <f t="shared" si="11"/>
        <v>#REF!</v>
      </c>
      <c r="M29" s="333" t="e">
        <f t="shared" si="11"/>
        <v>#REF!</v>
      </c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</row>
    <row r="30" spans="1:25" ht="18" hidden="1" customHeight="1" x14ac:dyDescent="0.2">
      <c r="A30" s="228" t="s">
        <v>288</v>
      </c>
      <c r="B30" s="221">
        <f t="shared" ref="B30:M30" si="12">B12</f>
        <v>330</v>
      </c>
      <c r="C30" s="221">
        <f t="shared" si="12"/>
        <v>306.74751179392217</v>
      </c>
      <c r="D30" s="221">
        <f t="shared" si="12"/>
        <v>282.79744894166203</v>
      </c>
      <c r="E30" s="221">
        <f t="shared" si="12"/>
        <v>258.1288842038341</v>
      </c>
      <c r="F30" s="221">
        <f t="shared" si="12"/>
        <v>232.72026252387133</v>
      </c>
      <c r="G30" s="221">
        <f t="shared" si="12"/>
        <v>206.54938219350964</v>
      </c>
      <c r="H30" s="221">
        <f t="shared" si="12"/>
        <v>179.59337545323714</v>
      </c>
      <c r="I30" s="221">
        <f t="shared" si="12"/>
        <v>151.82868851075642</v>
      </c>
      <c r="J30" s="221">
        <f t="shared" si="12"/>
        <v>123.23106096000132</v>
      </c>
      <c r="K30" s="221">
        <f t="shared" si="12"/>
        <v>93.775504582723528</v>
      </c>
      <c r="L30" s="221">
        <f t="shared" si="12"/>
        <v>63.436281514127423</v>
      </c>
      <c r="M30" s="334">
        <f t="shared" si="12"/>
        <v>32.186881753473429</v>
      </c>
      <c r="N30" s="346"/>
      <c r="O30" s="346"/>
      <c r="P30" s="346"/>
      <c r="Q30" s="346"/>
      <c r="R30" s="346"/>
      <c r="S30" s="346"/>
      <c r="T30" s="346"/>
      <c r="U30" s="346"/>
      <c r="V30" s="346"/>
      <c r="W30" s="346"/>
      <c r="X30" s="346"/>
      <c r="Y30" s="346"/>
    </row>
    <row r="31" spans="1:25" ht="18" hidden="1" customHeight="1" x14ac:dyDescent="0.2">
      <c r="A31" s="228" t="s">
        <v>289</v>
      </c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334"/>
      <c r="N31" s="346"/>
      <c r="O31" s="346"/>
      <c r="P31" s="346"/>
      <c r="Q31" s="346"/>
      <c r="R31" s="346"/>
      <c r="S31" s="346"/>
      <c r="T31" s="346"/>
      <c r="U31" s="346"/>
      <c r="V31" s="346"/>
      <c r="W31" s="346"/>
      <c r="X31" s="346"/>
      <c r="Y31" s="346"/>
    </row>
    <row r="32" spans="1:25" ht="18" hidden="1" customHeight="1" x14ac:dyDescent="0.25">
      <c r="A32" s="222" t="s">
        <v>296</v>
      </c>
      <c r="B32" s="220">
        <f>+B29-B30-B31</f>
        <v>-288.5</v>
      </c>
      <c r="C32" s="220">
        <f t="shared" ref="C32:M32" si="13">+C29-C30-C31</f>
        <v>-106207.93501179392</v>
      </c>
      <c r="D32" s="220">
        <f t="shared" si="13"/>
        <v>-116699.10369894169</v>
      </c>
      <c r="E32" s="220">
        <f t="shared" si="13"/>
        <v>-130253.63107170381</v>
      </c>
      <c r="F32" s="220">
        <f t="shared" si="13"/>
        <v>-159105.82288752386</v>
      </c>
      <c r="G32" s="220" t="e">
        <f t="shared" si="13"/>
        <v>#REF!</v>
      </c>
      <c r="H32" s="220" t="e">
        <f t="shared" si="13"/>
        <v>#REF!</v>
      </c>
      <c r="I32" s="220" t="e">
        <f t="shared" si="13"/>
        <v>#REF!</v>
      </c>
      <c r="J32" s="220" t="e">
        <f t="shared" si="13"/>
        <v>#REF!</v>
      </c>
      <c r="K32" s="220" t="e">
        <f t="shared" si="13"/>
        <v>#REF!</v>
      </c>
      <c r="L32" s="220" t="e">
        <f t="shared" si="13"/>
        <v>#REF!</v>
      </c>
      <c r="M32" s="333" t="e">
        <f t="shared" si="13"/>
        <v>#REF!</v>
      </c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</row>
    <row r="33" spans="1:25" ht="18" hidden="1" customHeight="1" x14ac:dyDescent="0.2">
      <c r="A33" s="227" t="s">
        <v>302</v>
      </c>
      <c r="B33" s="221">
        <v>20</v>
      </c>
      <c r="C33" s="221">
        <v>20</v>
      </c>
      <c r="D33" s="221">
        <v>20</v>
      </c>
      <c r="E33" s="221">
        <v>20</v>
      </c>
      <c r="F33" s="221">
        <v>20</v>
      </c>
      <c r="G33" s="221">
        <v>20</v>
      </c>
      <c r="H33" s="221">
        <v>20</v>
      </c>
      <c r="I33" s="221">
        <v>20</v>
      </c>
      <c r="J33" s="221">
        <v>20</v>
      </c>
      <c r="K33" s="221">
        <v>20</v>
      </c>
      <c r="L33" s="221">
        <v>20</v>
      </c>
      <c r="M33" s="334">
        <v>20</v>
      </c>
      <c r="N33" s="346"/>
      <c r="O33" s="346"/>
      <c r="P33" s="346"/>
      <c r="Q33" s="346"/>
      <c r="R33" s="346"/>
      <c r="S33" s="346"/>
      <c r="T33" s="346"/>
      <c r="U33" s="346"/>
      <c r="V33" s="346"/>
      <c r="W33" s="346"/>
      <c r="X33" s="346"/>
      <c r="Y33" s="346"/>
    </row>
    <row r="34" spans="1:25" ht="18" hidden="1" customHeight="1" x14ac:dyDescent="0.25">
      <c r="A34" s="229" t="s">
        <v>290</v>
      </c>
      <c r="B34" s="223">
        <f>B32-B33</f>
        <v>-308.5</v>
      </c>
      <c r="C34" s="223">
        <f t="shared" ref="C34:M34" si="14">C32-C33</f>
        <v>-106227.93501179392</v>
      </c>
      <c r="D34" s="223">
        <f t="shared" si="14"/>
        <v>-116719.10369894169</v>
      </c>
      <c r="E34" s="223">
        <f t="shared" si="14"/>
        <v>-130273.63107170381</v>
      </c>
      <c r="F34" s="223">
        <f t="shared" si="14"/>
        <v>-159125.82288752386</v>
      </c>
      <c r="G34" s="223" t="e">
        <f t="shared" si="14"/>
        <v>#REF!</v>
      </c>
      <c r="H34" s="223" t="e">
        <f t="shared" si="14"/>
        <v>#REF!</v>
      </c>
      <c r="I34" s="223" t="e">
        <f t="shared" si="14"/>
        <v>#REF!</v>
      </c>
      <c r="J34" s="223" t="e">
        <f t="shared" si="14"/>
        <v>#REF!</v>
      </c>
      <c r="K34" s="223" t="e">
        <f t="shared" si="14"/>
        <v>#REF!</v>
      </c>
      <c r="L34" s="223" t="e">
        <f t="shared" si="14"/>
        <v>#REF!</v>
      </c>
      <c r="M34" s="335" t="e">
        <f t="shared" si="14"/>
        <v>#REF!</v>
      </c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</row>
    <row r="35" spans="1:25" ht="18" hidden="1" customHeight="1" x14ac:dyDescent="0.25">
      <c r="A35" s="206"/>
      <c r="B35" s="205">
        <f>B34</f>
        <v>-308.5</v>
      </c>
      <c r="C35" s="205">
        <f>B35+C34</f>
        <v>-106536.43501179392</v>
      </c>
      <c r="D35" s="205">
        <f t="shared" ref="D35" si="15">C35+D34</f>
        <v>-223255.53871073562</v>
      </c>
      <c r="E35" s="205">
        <f t="shared" ref="E35" si="16">D35+E34</f>
        <v>-353529.16978243942</v>
      </c>
      <c r="F35" s="205">
        <f t="shared" ref="F35" si="17">E35+F34</f>
        <v>-512654.99266996328</v>
      </c>
      <c r="G35" s="205" t="e">
        <f t="shared" ref="G35" si="18">F35+G34</f>
        <v>#REF!</v>
      </c>
      <c r="H35" s="205" t="e">
        <f t="shared" ref="H35" si="19">G35+H34</f>
        <v>#REF!</v>
      </c>
      <c r="I35" s="205" t="e">
        <f t="shared" ref="I35" si="20">H35+I34</f>
        <v>#REF!</v>
      </c>
      <c r="J35" s="205" t="e">
        <f t="shared" ref="J35" si="21">I35+J34</f>
        <v>#REF!</v>
      </c>
      <c r="K35" s="205" t="e">
        <f t="shared" ref="K35" si="22">J35+K34</f>
        <v>#REF!</v>
      </c>
      <c r="L35" s="205" t="e">
        <f t="shared" ref="L35" si="23">K35+L34</f>
        <v>#REF!</v>
      </c>
      <c r="M35" s="336" t="e">
        <f t="shared" ref="M35" si="24">L35+M34</f>
        <v>#REF!</v>
      </c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</row>
    <row r="36" spans="1:25" ht="18" hidden="1" customHeight="1" x14ac:dyDescent="0.2">
      <c r="A36" s="226" t="s">
        <v>303</v>
      </c>
      <c r="B36" s="225">
        <f t="shared" ref="B36:M36" si="25">B34/B22*100</f>
        <v>-2.6044744617982269</v>
      </c>
      <c r="C36" s="225">
        <f t="shared" si="25"/>
        <v>-992.78443936255997</v>
      </c>
      <c r="D36" s="225">
        <f t="shared" si="25"/>
        <v>-985.38711438532459</v>
      </c>
      <c r="E36" s="225">
        <f t="shared" si="25"/>
        <v>-744.20811809028169</v>
      </c>
      <c r="F36" s="225">
        <f t="shared" si="25"/>
        <v>-877.81449669024335</v>
      </c>
      <c r="G36" s="225" t="e">
        <f t="shared" si="25"/>
        <v>#REF!</v>
      </c>
      <c r="H36" s="225" t="e">
        <f t="shared" si="25"/>
        <v>#REF!</v>
      </c>
      <c r="I36" s="225" t="e">
        <f t="shared" si="25"/>
        <v>#REF!</v>
      </c>
      <c r="J36" s="225" t="e">
        <f t="shared" si="25"/>
        <v>#REF!</v>
      </c>
      <c r="K36" s="225" t="e">
        <f t="shared" si="25"/>
        <v>#REF!</v>
      </c>
      <c r="L36" s="225" t="e">
        <f t="shared" si="25"/>
        <v>#REF!</v>
      </c>
      <c r="M36" s="331" t="e">
        <f t="shared" si="25"/>
        <v>#REF!</v>
      </c>
      <c r="N36" s="342"/>
      <c r="O36" s="342"/>
      <c r="P36" s="342"/>
      <c r="Q36" s="342"/>
      <c r="R36" s="342"/>
      <c r="S36" s="342"/>
      <c r="T36" s="342"/>
      <c r="U36" s="342"/>
      <c r="V36" s="342"/>
      <c r="W36" s="342"/>
      <c r="X36" s="342"/>
      <c r="Y36" s="342"/>
    </row>
    <row r="39" spans="1:25" ht="14.25" customHeight="1" x14ac:dyDescent="0.2">
      <c r="A39" s="19" t="s">
        <v>260</v>
      </c>
      <c r="B39" s="224" t="s">
        <v>328</v>
      </c>
      <c r="C39" s="224" t="s">
        <v>355</v>
      </c>
      <c r="D39" s="224" t="s">
        <v>356</v>
      </c>
      <c r="E39" s="224" t="s">
        <v>357</v>
      </c>
      <c r="F39" s="224" t="s">
        <v>358</v>
      </c>
    </row>
    <row r="40" spans="1:25" ht="14.25" customHeight="1" x14ac:dyDescent="0.25">
      <c r="A40" s="321" t="s">
        <v>339</v>
      </c>
      <c r="B40" s="320">
        <f>N4</f>
        <v>222897.5</v>
      </c>
      <c r="C40" s="384">
        <f>'PlanDeVentas y FlujoDeEfectivo'!D29</f>
        <v>233202.375</v>
      </c>
      <c r="D40" s="384">
        <f>'PlanDeVentas y FlujoDeEfectivo'!E29</f>
        <v>256522.61250000005</v>
      </c>
      <c r="E40" s="384">
        <f>'PlanDeVentas y FlujoDeEfectivo'!F29</f>
        <v>295001.00437499996</v>
      </c>
      <c r="F40" s="384">
        <f>'PlanDeVentas y FlujoDeEfectivo'!G29</f>
        <v>354001.20525</v>
      </c>
    </row>
    <row r="41" spans="1:25" ht="14.25" customHeight="1" thickBot="1" x14ac:dyDescent="0.3">
      <c r="A41" s="322" t="s">
        <v>348</v>
      </c>
      <c r="B41" s="320">
        <f>N5</f>
        <v>181340.5</v>
      </c>
      <c r="C41" s="385">
        <f>'PlanDeVentas y FlujoDeEfectivo'!D34</f>
        <v>178467.78750000001</v>
      </c>
      <c r="D41" s="385">
        <f>'PlanDeVentas y FlujoDeEfectivo'!E34</f>
        <v>190376.97225000002</v>
      </c>
      <c r="E41" s="385">
        <f>'PlanDeVentas y FlujoDeEfectivo'!F34</f>
        <v>209867.72484749998</v>
      </c>
      <c r="F41" s="385">
        <f>'PlanDeVentas y FlujoDeEfectivo'!G34</f>
        <v>239621.89751159999</v>
      </c>
    </row>
    <row r="42" spans="1:25" ht="14.25" customHeight="1" x14ac:dyDescent="0.25">
      <c r="A42" s="323" t="s">
        <v>340</v>
      </c>
      <c r="B42" s="446">
        <f>B40-B41</f>
        <v>41557</v>
      </c>
      <c r="C42" s="447">
        <f t="shared" ref="C42:F42" si="26">C40-C41</f>
        <v>54734.587499999994</v>
      </c>
      <c r="D42" s="447">
        <f t="shared" si="26"/>
        <v>66145.640250000026</v>
      </c>
      <c r="E42" s="447">
        <f t="shared" si="26"/>
        <v>85133.279527499981</v>
      </c>
      <c r="F42" s="447">
        <f t="shared" si="26"/>
        <v>114379.30773840001</v>
      </c>
    </row>
    <row r="43" spans="1:25" ht="14.25" customHeight="1" x14ac:dyDescent="0.25">
      <c r="A43" s="324" t="s">
        <v>349</v>
      </c>
      <c r="B43" s="320">
        <f>300*12</f>
        <v>3600</v>
      </c>
      <c r="C43" s="320">
        <f t="shared" ref="C43:F43" si="27">300*12</f>
        <v>3600</v>
      </c>
      <c r="D43" s="320">
        <f t="shared" si="27"/>
        <v>3600</v>
      </c>
      <c r="E43" s="320">
        <f t="shared" si="27"/>
        <v>3600</v>
      </c>
      <c r="F43" s="320">
        <f t="shared" si="27"/>
        <v>3600</v>
      </c>
    </row>
    <row r="44" spans="1:25" ht="14.25" customHeight="1" x14ac:dyDescent="0.25">
      <c r="A44" s="324" t="s">
        <v>350</v>
      </c>
      <c r="B44" s="320">
        <f>N10</f>
        <v>12000</v>
      </c>
      <c r="C44" s="383">
        <f>$B$44</f>
        <v>12000</v>
      </c>
      <c r="D44" s="383">
        <f t="shared" ref="D44:F44" si="28">$B$44</f>
        <v>12000</v>
      </c>
      <c r="E44" s="383">
        <f t="shared" si="28"/>
        <v>12000</v>
      </c>
      <c r="F44" s="383">
        <f t="shared" si="28"/>
        <v>12000</v>
      </c>
    </row>
    <row r="45" spans="1:25" ht="14.25" customHeight="1" thickBot="1" x14ac:dyDescent="0.3">
      <c r="A45" s="381" t="s">
        <v>351</v>
      </c>
      <c r="B45" s="320">
        <f>B43+B44</f>
        <v>15600</v>
      </c>
      <c r="C45" s="320">
        <f t="shared" ref="C45:F45" si="29">C43+C44</f>
        <v>15600</v>
      </c>
      <c r="D45" s="320">
        <f t="shared" si="29"/>
        <v>15600</v>
      </c>
      <c r="E45" s="320">
        <f t="shared" si="29"/>
        <v>15600</v>
      </c>
      <c r="F45" s="320">
        <f t="shared" si="29"/>
        <v>15600</v>
      </c>
    </row>
    <row r="46" spans="1:25" ht="14.25" customHeight="1" x14ac:dyDescent="0.25">
      <c r="A46" s="324" t="s">
        <v>352</v>
      </c>
      <c r="B46" s="320">
        <f>B42-B45</f>
        <v>25957</v>
      </c>
      <c r="C46" s="320">
        <f t="shared" ref="C46:F46" si="30">C42-C45</f>
        <v>39134.587499999994</v>
      </c>
      <c r="D46" s="320">
        <f t="shared" si="30"/>
        <v>50545.640250000026</v>
      </c>
      <c r="E46" s="320">
        <f t="shared" si="30"/>
        <v>69533.279527499981</v>
      </c>
      <c r="F46" s="320">
        <f t="shared" si="30"/>
        <v>98779.307738400006</v>
      </c>
    </row>
    <row r="47" spans="1:25" ht="14.25" hidden="1" customHeight="1" thickBot="1" x14ac:dyDescent="0.3">
      <c r="A47" s="322" t="s">
        <v>353</v>
      </c>
      <c r="B47" s="320"/>
      <c r="C47" s="52"/>
      <c r="D47" s="52"/>
      <c r="E47" s="52"/>
      <c r="F47" s="52"/>
      <c r="G47" s="309"/>
      <c r="H47" s="309"/>
      <c r="I47" s="309"/>
      <c r="J47" s="309"/>
      <c r="K47" s="309"/>
      <c r="L47" s="309"/>
      <c r="M47" s="309"/>
    </row>
    <row r="48" spans="1:25" ht="14.25" customHeight="1" x14ac:dyDescent="0.25">
      <c r="A48" s="323" t="s">
        <v>341</v>
      </c>
      <c r="B48" s="446">
        <f>B46-B47</f>
        <v>25957</v>
      </c>
      <c r="C48" s="446">
        <f t="shared" ref="C48:F48" si="31">C46-C47</f>
        <v>39134.587499999994</v>
      </c>
      <c r="D48" s="446">
        <f t="shared" si="31"/>
        <v>50545.640250000026</v>
      </c>
      <c r="E48" s="446">
        <f t="shared" si="31"/>
        <v>69533.279527499981</v>
      </c>
      <c r="F48" s="446">
        <f t="shared" si="31"/>
        <v>98779.307738400006</v>
      </c>
      <c r="G48" s="309"/>
      <c r="H48" s="309"/>
      <c r="I48" s="309"/>
      <c r="J48" s="309"/>
      <c r="K48" s="309"/>
      <c r="L48" s="309"/>
      <c r="M48" s="309"/>
    </row>
    <row r="49" spans="1:13" ht="14.25" customHeight="1" thickBot="1" x14ac:dyDescent="0.3">
      <c r="A49" s="322" t="s">
        <v>342</v>
      </c>
      <c r="B49" s="320">
        <f>$N$15</f>
        <v>240</v>
      </c>
      <c r="C49" s="320">
        <f t="shared" ref="C49:F49" si="32">$N$15</f>
        <v>240</v>
      </c>
      <c r="D49" s="320">
        <f t="shared" si="32"/>
        <v>240</v>
      </c>
      <c r="E49" s="320">
        <f t="shared" si="32"/>
        <v>240</v>
      </c>
      <c r="F49" s="320">
        <f t="shared" si="32"/>
        <v>240</v>
      </c>
      <c r="G49" s="382"/>
      <c r="H49" s="382"/>
      <c r="I49" s="382"/>
      <c r="J49" s="382"/>
      <c r="K49" s="382"/>
      <c r="L49" s="382"/>
      <c r="M49" s="382"/>
    </row>
    <row r="50" spans="1:13" ht="14.25" customHeight="1" x14ac:dyDescent="0.25">
      <c r="A50" s="323" t="s">
        <v>354</v>
      </c>
      <c r="B50" s="439">
        <f>B48-B49</f>
        <v>25717</v>
      </c>
      <c r="C50" s="439">
        <f t="shared" ref="C50:F50" si="33">C48-C49</f>
        <v>38894.587499999994</v>
      </c>
      <c r="D50" s="439">
        <f t="shared" si="33"/>
        <v>50305.640250000026</v>
      </c>
      <c r="E50" s="439">
        <f t="shared" si="33"/>
        <v>69293.279527499981</v>
      </c>
      <c r="F50" s="439">
        <f t="shared" si="33"/>
        <v>98539.307738400006</v>
      </c>
      <c r="G50" s="309"/>
      <c r="H50" s="309"/>
      <c r="I50" s="309"/>
      <c r="J50" s="309"/>
      <c r="K50" s="309"/>
      <c r="L50" s="309"/>
      <c r="M50" s="309"/>
    </row>
  </sheetData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5"/>
  <sheetViews>
    <sheetView showGridLines="0" topLeftCell="A7" workbookViewId="0">
      <selection activeCell="P13" sqref="P13"/>
    </sheetView>
  </sheetViews>
  <sheetFormatPr baseColWidth="10" defaultColWidth="11.44140625" defaultRowHeight="14.4" x14ac:dyDescent="0.3"/>
  <cols>
    <col min="1" max="1" width="20.88671875" style="35" bestFit="1" customWidth="1"/>
    <col min="2" max="2" width="13" style="35" bestFit="1" customWidth="1"/>
    <col min="3" max="3" width="12.6640625" style="35" customWidth="1"/>
    <col min="4" max="5" width="11.44140625" style="35"/>
    <col min="6" max="6" width="12.44140625" style="35" customWidth="1"/>
    <col min="7" max="8" width="11.44140625" style="35"/>
    <col min="9" max="9" width="16" style="35" customWidth="1"/>
    <col min="10" max="10" width="11.44140625" style="35"/>
    <col min="11" max="11" width="14.44140625" style="35" customWidth="1"/>
    <col min="12" max="16384" width="11.44140625" style="35"/>
  </cols>
  <sheetData>
    <row r="1" spans="1:14" ht="29.25" customHeight="1" x14ac:dyDescent="0.4">
      <c r="A1" s="105" t="s">
        <v>207</v>
      </c>
    </row>
    <row r="3" spans="1:14" ht="43.2" x14ac:dyDescent="0.3">
      <c r="A3" s="94" t="s">
        <v>201</v>
      </c>
      <c r="B3" s="94" t="s">
        <v>202</v>
      </c>
      <c r="C3" s="94" t="s">
        <v>203</v>
      </c>
      <c r="D3" s="94" t="s">
        <v>204</v>
      </c>
      <c r="E3" s="94" t="s">
        <v>205</v>
      </c>
      <c r="F3" s="94" t="s">
        <v>211</v>
      </c>
      <c r="G3" s="94" t="s">
        <v>206</v>
      </c>
      <c r="H3" s="94" t="s">
        <v>208</v>
      </c>
      <c r="I3" s="94" t="s">
        <v>209</v>
      </c>
    </row>
    <row r="4" spans="1:14" x14ac:dyDescent="0.3">
      <c r="A4" s="91" t="s">
        <v>61</v>
      </c>
      <c r="B4" s="95">
        <f>ProyecciónDeVentas!O6</f>
        <v>1008.75</v>
      </c>
      <c r="C4" s="85">
        <f>+B4/$B$7</f>
        <v>0.49157360406091366</v>
      </c>
      <c r="D4" s="92">
        <f>ProyecciónDeVentas!B7</f>
        <v>8.5</v>
      </c>
      <c r="E4" s="90">
        <f>ProyecciónDeVentas!B73</f>
        <v>5.0999999999999996</v>
      </c>
      <c r="F4" s="86">
        <f>D4-E4</f>
        <v>3.4000000000000004</v>
      </c>
      <c r="G4" s="90">
        <f>C4*F4</f>
        <v>1.6713502538071066</v>
      </c>
      <c r="H4" s="87">
        <f>($B$9/$G$7)*C4</f>
        <v>650.22097973785799</v>
      </c>
      <c r="I4" s="89">
        <f>H4*D4</f>
        <v>5526.878327771793</v>
      </c>
      <c r="J4" s="88"/>
      <c r="L4" s="268"/>
    </row>
    <row r="5" spans="1:14" x14ac:dyDescent="0.3">
      <c r="A5" s="91" t="s">
        <v>65</v>
      </c>
      <c r="B5" s="95">
        <f>ProyecciónDeVentas!O10</f>
        <v>672.5</v>
      </c>
      <c r="C5" s="85">
        <f t="shared" ref="C5:C6" si="0">+B5/$B$7</f>
        <v>0.32771573604060911</v>
      </c>
      <c r="D5" s="92">
        <f>ProyecciónDeVentas!B11</f>
        <v>6.5</v>
      </c>
      <c r="E5" s="90">
        <f>ProyecciónDeVentas!B74</f>
        <v>4</v>
      </c>
      <c r="F5" s="86">
        <f>D5-E5</f>
        <v>2.5</v>
      </c>
      <c r="G5" s="90">
        <f>C5*F5</f>
        <v>0.81928934010152277</v>
      </c>
      <c r="H5" s="87">
        <f>($B$9/$G$7)*C5</f>
        <v>433.48065315857195</v>
      </c>
      <c r="I5" s="89">
        <f>H5*D5</f>
        <v>2817.6242455307179</v>
      </c>
      <c r="J5" s="88"/>
    </row>
    <row r="6" spans="1:14" x14ac:dyDescent="0.3">
      <c r="A6" s="93" t="s">
        <v>159</v>
      </c>
      <c r="B6" s="95">
        <f>ProyecciónDeVentas!O14</f>
        <v>370.83333333333331</v>
      </c>
      <c r="C6" s="85">
        <f t="shared" si="0"/>
        <v>0.18071065989847712</v>
      </c>
      <c r="D6" s="92">
        <f>ProyecciónDeVentas!B15</f>
        <v>15</v>
      </c>
      <c r="E6" s="90">
        <f>ProyecciónDeVentas!B75</f>
        <v>7.3</v>
      </c>
      <c r="F6" s="86">
        <f>D6-E6</f>
        <v>7.7</v>
      </c>
      <c r="G6" s="90">
        <f>C6*F6</f>
        <v>1.3914720812182739</v>
      </c>
      <c r="H6" s="87">
        <f>($B$9/$G$7)*C6</f>
        <v>239.0320825967342</v>
      </c>
      <c r="I6" s="89">
        <f t="shared" ref="I6" si="1">H6*D6</f>
        <v>3585.481238951013</v>
      </c>
      <c r="J6" s="88"/>
    </row>
    <row r="7" spans="1:14" x14ac:dyDescent="0.3">
      <c r="B7" s="96">
        <f>SUM(B4:B6)</f>
        <v>2052.0833333333335</v>
      </c>
      <c r="C7" s="81">
        <f>SUM(C4:C6)</f>
        <v>0.99999999999999989</v>
      </c>
      <c r="D7" s="264"/>
      <c r="F7" s="263"/>
      <c r="G7" s="98">
        <f>SUM(G4:G6)</f>
        <v>3.8821116751269029</v>
      </c>
      <c r="H7" s="82">
        <f>SUM(H4:H6)</f>
        <v>1322.7337154931643</v>
      </c>
      <c r="I7" s="84">
        <f>SUM(I4:I6)</f>
        <v>11929.983812253524</v>
      </c>
      <c r="J7" s="83"/>
    </row>
    <row r="9" spans="1:14" x14ac:dyDescent="0.3">
      <c r="A9" s="97" t="s">
        <v>210</v>
      </c>
      <c r="B9" s="99">
        <f>Inversión!O6+Inversión!O7</f>
        <v>5135</v>
      </c>
      <c r="E9" s="128">
        <f>1.8</f>
        <v>1.8</v>
      </c>
      <c r="F9" s="128">
        <v>10</v>
      </c>
      <c r="G9" s="128">
        <f>E9/F9</f>
        <v>0.18</v>
      </c>
      <c r="H9" s="128">
        <f>G9*7.2</f>
        <v>1.296</v>
      </c>
    </row>
    <row r="10" spans="1:14" x14ac:dyDescent="0.3">
      <c r="E10" s="128" t="s">
        <v>228</v>
      </c>
      <c r="F10" s="128" t="s">
        <v>229</v>
      </c>
      <c r="G10" s="128"/>
      <c r="H10" s="128" t="s">
        <v>230</v>
      </c>
    </row>
    <row r="11" spans="1:14" x14ac:dyDescent="0.3">
      <c r="A11" s="106" t="s">
        <v>213</v>
      </c>
      <c r="B11"/>
      <c r="C11"/>
      <c r="D11"/>
      <c r="E11" s="71">
        <v>1</v>
      </c>
      <c r="F11" s="71">
        <v>10</v>
      </c>
      <c r="G11" s="128">
        <f>E11/F11</f>
        <v>0.1</v>
      </c>
      <c r="H11" s="71">
        <f>G11*3.3</f>
        <v>0.33</v>
      </c>
    </row>
    <row r="12" spans="1:14" x14ac:dyDescent="0.3">
      <c r="A12" s="106"/>
      <c r="B12"/>
      <c r="C12"/>
      <c r="D12"/>
      <c r="E12" s="128" t="s">
        <v>178</v>
      </c>
      <c r="F12" s="71"/>
      <c r="G12" s="129"/>
      <c r="H12" s="71"/>
    </row>
    <row r="13" spans="1:14" x14ac:dyDescent="0.3">
      <c r="A13" t="s">
        <v>210</v>
      </c>
      <c r="C13" s="102">
        <f>(G4/G7)*B9</f>
        <v>2210.7513311087168</v>
      </c>
      <c r="D13"/>
      <c r="E13" s="267"/>
      <c r="F13" s="71"/>
      <c r="G13" s="71"/>
      <c r="H13" s="71"/>
      <c r="M13" s="269"/>
      <c r="N13" s="267"/>
    </row>
    <row r="14" spans="1:14" x14ac:dyDescent="0.3">
      <c r="A14"/>
      <c r="C14"/>
      <c r="D14"/>
      <c r="F14"/>
      <c r="M14" s="269"/>
      <c r="N14" s="267"/>
    </row>
    <row r="15" spans="1:14" x14ac:dyDescent="0.3">
      <c r="A15" t="s">
        <v>216</v>
      </c>
      <c r="C15" s="102">
        <f>E4</f>
        <v>5.0999999999999996</v>
      </c>
      <c r="D15"/>
      <c r="F15"/>
    </row>
    <row r="16" spans="1:14" x14ac:dyDescent="0.3">
      <c r="A16"/>
      <c r="C16"/>
      <c r="D16"/>
      <c r="F16"/>
      <c r="G16"/>
    </row>
    <row r="17" spans="1:7" x14ac:dyDescent="0.3">
      <c r="A17" t="s">
        <v>215</v>
      </c>
      <c r="C17" s="102">
        <f>D4</f>
        <v>8.5</v>
      </c>
      <c r="D17"/>
      <c r="F17"/>
      <c r="G17"/>
    </row>
    <row r="18" spans="1:7" x14ac:dyDescent="0.3">
      <c r="A18"/>
      <c r="C18"/>
      <c r="D18"/>
      <c r="F18"/>
      <c r="G18"/>
    </row>
    <row r="19" spans="1:7" x14ac:dyDescent="0.3">
      <c r="A19" s="107" t="s">
        <v>214</v>
      </c>
      <c r="B19" s="450">
        <f>C13/(C17-C15)</f>
        <v>650.22097973785787</v>
      </c>
      <c r="C19" s="104" t="s">
        <v>212</v>
      </c>
      <c r="D19" s="270"/>
      <c r="F19"/>
      <c r="G19"/>
    </row>
    <row r="20" spans="1:7" x14ac:dyDescent="0.3">
      <c r="A20"/>
      <c r="B20" s="100"/>
      <c r="C20" s="101"/>
      <c r="D20" s="270"/>
      <c r="F20"/>
      <c r="G20"/>
    </row>
    <row r="21" spans="1:7" x14ac:dyDescent="0.3">
      <c r="A21"/>
      <c r="B21" s="451">
        <f>B19*C17</f>
        <v>5526.8783277717921</v>
      </c>
      <c r="C21" s="104" t="s">
        <v>45</v>
      </c>
      <c r="D21" s="270"/>
      <c r="F21"/>
      <c r="G21"/>
    </row>
    <row r="22" spans="1:7" x14ac:dyDescent="0.3">
      <c r="A22"/>
      <c r="B22"/>
      <c r="C22"/>
      <c r="D22" s="100"/>
      <c r="E22"/>
      <c r="F22"/>
      <c r="G22"/>
    </row>
    <row r="23" spans="1:7" x14ac:dyDescent="0.3">
      <c r="A23" s="106" t="s">
        <v>217</v>
      </c>
      <c r="B23"/>
      <c r="C23"/>
      <c r="D23" s="270"/>
    </row>
    <row r="24" spans="1:7" x14ac:dyDescent="0.3">
      <c r="A24" s="106"/>
      <c r="B24"/>
      <c r="C24"/>
      <c r="D24" s="270"/>
    </row>
    <row r="25" spans="1:7" x14ac:dyDescent="0.3">
      <c r="A25" t="s">
        <v>210</v>
      </c>
      <c r="C25" s="102">
        <f>(G5/G7)*B9</f>
        <v>1083.7016328964298</v>
      </c>
      <c r="D25" s="270"/>
    </row>
    <row r="26" spans="1:7" x14ac:dyDescent="0.3">
      <c r="A26"/>
      <c r="C26"/>
      <c r="D26" s="270"/>
    </row>
    <row r="27" spans="1:7" x14ac:dyDescent="0.3">
      <c r="A27" t="s">
        <v>216</v>
      </c>
      <c r="C27" s="102">
        <f>E5</f>
        <v>4</v>
      </c>
      <c r="D27" s="270"/>
    </row>
    <row r="28" spans="1:7" x14ac:dyDescent="0.3">
      <c r="A28"/>
      <c r="C28"/>
      <c r="D28" s="270"/>
    </row>
    <row r="29" spans="1:7" x14ac:dyDescent="0.3">
      <c r="A29" t="s">
        <v>215</v>
      </c>
      <c r="C29" s="102">
        <f>D5</f>
        <v>6.5</v>
      </c>
      <c r="D29" s="270"/>
    </row>
    <row r="30" spans="1:7" x14ac:dyDescent="0.3">
      <c r="A30"/>
      <c r="C30"/>
      <c r="D30" s="270"/>
    </row>
    <row r="31" spans="1:7" x14ac:dyDescent="0.3">
      <c r="A31" s="107" t="s">
        <v>214</v>
      </c>
      <c r="B31" s="103">
        <f>C25/(C29-C27)</f>
        <v>433.48065315857195</v>
      </c>
      <c r="C31" s="104" t="s">
        <v>212</v>
      </c>
      <c r="D31" s="270"/>
    </row>
    <row r="32" spans="1:7" x14ac:dyDescent="0.3">
      <c r="A32"/>
      <c r="B32" s="100"/>
      <c r="C32" s="101"/>
      <c r="D32" s="270"/>
    </row>
    <row r="33" spans="1:4" x14ac:dyDescent="0.3">
      <c r="A33"/>
      <c r="B33" s="103">
        <f>B31*C29</f>
        <v>2817.6242455307179</v>
      </c>
      <c r="C33" s="104" t="s">
        <v>45</v>
      </c>
      <c r="D33" s="270"/>
    </row>
    <row r="34" spans="1:4" x14ac:dyDescent="0.3">
      <c r="D34" s="270"/>
    </row>
    <row r="35" spans="1:4" x14ac:dyDescent="0.3">
      <c r="A35" s="106" t="s">
        <v>218</v>
      </c>
      <c r="B35"/>
      <c r="C35"/>
      <c r="D35" s="270"/>
    </row>
    <row r="36" spans="1:4" x14ac:dyDescent="0.3">
      <c r="A36" s="106"/>
      <c r="B36"/>
      <c r="C36"/>
      <c r="D36" s="270"/>
    </row>
    <row r="37" spans="1:4" x14ac:dyDescent="0.3">
      <c r="A37" t="s">
        <v>210</v>
      </c>
      <c r="C37" s="102">
        <f>(G6/G7)*B9</f>
        <v>1840.5470359948533</v>
      </c>
      <c r="D37" s="270"/>
    </row>
    <row r="38" spans="1:4" x14ac:dyDescent="0.3">
      <c r="A38"/>
      <c r="C38"/>
      <c r="D38" s="270"/>
    </row>
    <row r="39" spans="1:4" x14ac:dyDescent="0.3">
      <c r="A39" t="s">
        <v>216</v>
      </c>
      <c r="C39" s="102">
        <f>E6</f>
        <v>7.3</v>
      </c>
      <c r="D39" s="270"/>
    </row>
    <row r="40" spans="1:4" x14ac:dyDescent="0.3">
      <c r="A40"/>
      <c r="C40"/>
      <c r="D40" s="270"/>
    </row>
    <row r="41" spans="1:4" x14ac:dyDescent="0.3">
      <c r="A41" t="s">
        <v>215</v>
      </c>
      <c r="C41" s="102">
        <f>D6</f>
        <v>15</v>
      </c>
      <c r="D41" s="270"/>
    </row>
    <row r="42" spans="1:4" x14ac:dyDescent="0.3">
      <c r="A42"/>
      <c r="C42"/>
      <c r="D42" s="270"/>
    </row>
    <row r="43" spans="1:4" x14ac:dyDescent="0.3">
      <c r="A43" s="107" t="s">
        <v>214</v>
      </c>
      <c r="B43" s="103">
        <f>C37/(C41-C39)</f>
        <v>239.0320825967342</v>
      </c>
      <c r="C43" s="104" t="s">
        <v>212</v>
      </c>
      <c r="D43" s="270"/>
    </row>
    <row r="44" spans="1:4" x14ac:dyDescent="0.3">
      <c r="A44"/>
      <c r="B44" s="100"/>
      <c r="C44" s="101"/>
      <c r="D44" s="270"/>
    </row>
    <row r="45" spans="1:4" x14ac:dyDescent="0.3">
      <c r="A45"/>
      <c r="B45" s="103">
        <f>B43*C41</f>
        <v>3585.481238951013</v>
      </c>
      <c r="C45" s="104" t="s">
        <v>45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U40"/>
  <sheetViews>
    <sheetView showGridLines="0" zoomScale="80" zoomScaleNormal="80" workbookViewId="0">
      <selection activeCell="B4" sqref="B4:R36"/>
    </sheetView>
  </sheetViews>
  <sheetFormatPr baseColWidth="10" defaultRowHeight="14.4" x14ac:dyDescent="0.3"/>
  <cols>
    <col min="2" max="18" width="9.33203125" customWidth="1"/>
  </cols>
  <sheetData>
    <row r="1" spans="2:18" ht="15" thickBot="1" x14ac:dyDescent="0.35"/>
    <row r="2" spans="2:18" ht="21.6" thickBot="1" x14ac:dyDescent="0.35">
      <c r="B2" s="547" t="s">
        <v>403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9"/>
    </row>
    <row r="3" spans="2:18" ht="15" thickBot="1" x14ac:dyDescent="0.35">
      <c r="E3" s="127"/>
    </row>
    <row r="4" spans="2:18" ht="14.25" customHeight="1" x14ac:dyDescent="0.3">
      <c r="B4" s="535" t="s">
        <v>400</v>
      </c>
      <c r="C4" s="536"/>
      <c r="D4" s="396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8"/>
      <c r="R4" s="399"/>
    </row>
    <row r="5" spans="2:18" ht="14.25" customHeight="1" x14ac:dyDescent="0.3">
      <c r="B5" s="537"/>
      <c r="C5" s="538"/>
      <c r="D5" s="400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2"/>
      <c r="R5" s="403"/>
    </row>
    <row r="6" spans="2:18" ht="14.25" customHeight="1" x14ac:dyDescent="0.3">
      <c r="B6" s="537"/>
      <c r="C6" s="538"/>
      <c r="D6" s="400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2"/>
      <c r="R6" s="403"/>
    </row>
    <row r="7" spans="2:18" ht="14.25" customHeight="1" x14ac:dyDescent="0.3">
      <c r="B7" s="537"/>
      <c r="C7" s="538"/>
      <c r="D7" s="400"/>
      <c r="E7" s="401"/>
      <c r="F7" s="401"/>
      <c r="G7" s="401"/>
      <c r="H7" s="401"/>
      <c r="I7" s="401"/>
      <c r="J7" s="401"/>
      <c r="K7" s="401"/>
      <c r="L7" s="401"/>
      <c r="M7" s="401"/>
      <c r="N7" s="401"/>
      <c r="O7" s="401"/>
      <c r="P7" s="401"/>
      <c r="Q7" s="402"/>
      <c r="R7" s="403"/>
    </row>
    <row r="8" spans="2:18" ht="14.25" customHeight="1" x14ac:dyDescent="0.3">
      <c r="B8" s="537"/>
      <c r="C8" s="538"/>
      <c r="D8" s="400"/>
      <c r="E8" s="401"/>
      <c r="F8" s="401"/>
      <c r="G8" s="401"/>
      <c r="H8" s="401"/>
      <c r="I8" s="401"/>
      <c r="J8" s="401"/>
      <c r="K8" s="401"/>
      <c r="L8" s="401"/>
      <c r="M8" s="401"/>
      <c r="N8" s="401"/>
      <c r="O8" s="401"/>
      <c r="P8" s="401"/>
      <c r="Q8" s="402"/>
      <c r="R8" s="403"/>
    </row>
    <row r="9" spans="2:18" ht="14.25" customHeight="1" x14ac:dyDescent="0.3">
      <c r="B9" s="537"/>
      <c r="C9" s="538"/>
      <c r="D9" s="400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2"/>
      <c r="R9" s="403"/>
    </row>
    <row r="10" spans="2:18" ht="14.25" customHeight="1" x14ac:dyDescent="0.3">
      <c r="B10" s="537"/>
      <c r="C10" s="538"/>
      <c r="D10" s="400"/>
      <c r="E10" s="401"/>
      <c r="F10" s="401"/>
      <c r="G10" s="401"/>
      <c r="H10" s="401"/>
      <c r="I10" s="401"/>
      <c r="J10" s="401"/>
      <c r="K10" s="401"/>
      <c r="L10" s="401"/>
      <c r="M10" s="401"/>
      <c r="N10" s="401"/>
      <c r="O10" s="401"/>
      <c r="P10" s="401"/>
      <c r="Q10" s="402"/>
      <c r="R10" s="403"/>
    </row>
    <row r="11" spans="2:18" ht="14.25" customHeight="1" x14ac:dyDescent="0.3">
      <c r="B11" s="537"/>
      <c r="C11" s="538"/>
      <c r="D11" s="400"/>
      <c r="E11" s="401"/>
      <c r="F11" s="401"/>
      <c r="G11" s="401"/>
      <c r="H11" s="401"/>
      <c r="I11" s="401"/>
      <c r="J11" s="401"/>
      <c r="K11" s="401"/>
      <c r="L11" s="401"/>
      <c r="M11" s="401"/>
      <c r="N11" s="401"/>
      <c r="O11" s="401"/>
      <c r="P11" s="401"/>
      <c r="Q11" s="402"/>
      <c r="R11" s="403"/>
    </row>
    <row r="12" spans="2:18" ht="14.25" customHeight="1" x14ac:dyDescent="0.3">
      <c r="B12" s="537"/>
      <c r="C12" s="538"/>
      <c r="D12" s="404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5"/>
      <c r="R12" s="403"/>
    </row>
    <row r="13" spans="2:18" ht="14.25" customHeight="1" x14ac:dyDescent="0.3">
      <c r="B13" s="537"/>
      <c r="C13" s="538"/>
      <c r="D13" s="404"/>
      <c r="E13" s="401"/>
      <c r="F13" s="401"/>
      <c r="G13" s="401"/>
      <c r="H13" s="401"/>
      <c r="I13" s="401"/>
      <c r="J13" s="401"/>
      <c r="K13" s="401"/>
      <c r="L13" s="401"/>
      <c r="M13" s="401"/>
      <c r="N13" s="401"/>
      <c r="O13" s="401"/>
      <c r="P13" s="401"/>
      <c r="Q13" s="402"/>
      <c r="R13" s="403"/>
    </row>
    <row r="14" spans="2:18" ht="14.25" customHeight="1" x14ac:dyDescent="0.3">
      <c r="B14" s="406"/>
      <c r="C14" s="407"/>
      <c r="D14" s="404"/>
      <c r="E14" s="401"/>
      <c r="F14" s="401"/>
      <c r="G14" s="401"/>
      <c r="H14" s="401"/>
      <c r="I14" s="401"/>
      <c r="J14" s="401"/>
      <c r="K14" s="401"/>
      <c r="L14" s="401"/>
      <c r="M14" s="401"/>
      <c r="N14" s="401"/>
      <c r="O14" s="401"/>
      <c r="P14" s="401"/>
      <c r="Q14" s="402"/>
      <c r="R14" s="403"/>
    </row>
    <row r="15" spans="2:18" ht="14.25" customHeight="1" x14ac:dyDescent="0.3">
      <c r="B15" s="408"/>
      <c r="C15" s="401"/>
      <c r="D15" s="401"/>
      <c r="E15" s="401"/>
      <c r="F15" s="401"/>
      <c r="G15" s="401"/>
      <c r="H15" s="401"/>
      <c r="I15" s="401"/>
      <c r="J15" s="401"/>
      <c r="K15" s="401"/>
      <c r="L15" s="401"/>
      <c r="M15" s="401"/>
      <c r="N15" s="401"/>
      <c r="O15" s="401"/>
      <c r="P15" s="401"/>
      <c r="Q15" s="402"/>
      <c r="R15" s="403"/>
    </row>
    <row r="16" spans="2:18" ht="14.25" customHeight="1" x14ac:dyDescent="0.3">
      <c r="B16" s="408"/>
      <c r="C16" s="401"/>
      <c r="D16" s="401"/>
      <c r="E16" s="401"/>
      <c r="F16" s="401"/>
      <c r="G16" s="401"/>
      <c r="H16" s="401"/>
      <c r="I16" s="401"/>
      <c r="J16" s="401"/>
      <c r="K16" s="401"/>
      <c r="L16" s="401"/>
      <c r="M16" s="401"/>
      <c r="N16" s="401"/>
      <c r="O16" s="401"/>
      <c r="P16" s="401"/>
      <c r="Q16" s="402"/>
      <c r="R16" s="403"/>
    </row>
    <row r="17" spans="2:18" ht="14.25" customHeight="1" x14ac:dyDescent="0.3">
      <c r="B17" s="409"/>
      <c r="C17" s="410"/>
      <c r="D17" s="410"/>
      <c r="E17" s="401"/>
      <c r="F17" s="411"/>
      <c r="G17" s="401"/>
      <c r="H17" s="401"/>
      <c r="I17" s="401"/>
      <c r="J17" s="401"/>
      <c r="K17" s="401"/>
      <c r="L17" s="401"/>
      <c r="M17" s="401"/>
      <c r="N17" s="401"/>
      <c r="O17" s="401"/>
      <c r="P17" s="401"/>
      <c r="Q17" s="402"/>
      <c r="R17" s="403"/>
    </row>
    <row r="18" spans="2:18" ht="14.25" customHeight="1" x14ac:dyDescent="0.3">
      <c r="B18" s="539" t="s">
        <v>401</v>
      </c>
      <c r="C18" s="540"/>
      <c r="D18" s="410"/>
      <c r="E18" s="401"/>
      <c r="F18" s="411"/>
      <c r="G18" s="401"/>
      <c r="H18" s="401"/>
      <c r="I18" s="401"/>
      <c r="J18" s="401"/>
      <c r="K18" s="401"/>
      <c r="L18" s="401"/>
      <c r="M18" s="401"/>
      <c r="N18" s="401"/>
      <c r="O18" s="401"/>
      <c r="P18" s="401"/>
      <c r="Q18" s="402"/>
      <c r="R18" s="403"/>
    </row>
    <row r="19" spans="2:18" ht="14.25" customHeight="1" x14ac:dyDescent="0.3">
      <c r="B19" s="539"/>
      <c r="C19" s="540"/>
      <c r="D19" s="410"/>
      <c r="E19" s="401"/>
      <c r="F19" s="411"/>
      <c r="G19" s="401"/>
      <c r="H19" s="401"/>
      <c r="I19" s="401"/>
      <c r="J19" s="401"/>
      <c r="K19" s="401"/>
      <c r="L19" s="401"/>
      <c r="M19" s="401"/>
      <c r="N19" s="401"/>
      <c r="O19" s="401"/>
      <c r="P19" s="401"/>
      <c r="Q19" s="402"/>
      <c r="R19" s="403"/>
    </row>
    <row r="20" spans="2:18" ht="14.25" customHeight="1" x14ac:dyDescent="0.3">
      <c r="B20" s="539"/>
      <c r="C20" s="540"/>
      <c r="D20" s="410"/>
      <c r="E20" s="401"/>
      <c r="F20" s="401"/>
      <c r="G20" s="408"/>
      <c r="H20" s="401"/>
      <c r="I20" s="401"/>
      <c r="J20" s="401"/>
      <c r="K20" s="401"/>
      <c r="L20" s="401"/>
      <c r="M20" s="401"/>
      <c r="N20" s="401"/>
      <c r="O20" s="401"/>
      <c r="P20" s="401"/>
      <c r="Q20" s="402"/>
      <c r="R20" s="403"/>
    </row>
    <row r="21" spans="2:18" ht="14.25" customHeight="1" thickBot="1" x14ac:dyDescent="0.35">
      <c r="B21" s="539"/>
      <c r="C21" s="540"/>
      <c r="D21" s="410"/>
      <c r="E21" s="401"/>
      <c r="F21" s="401"/>
      <c r="G21" s="408"/>
      <c r="H21" s="401"/>
      <c r="I21" s="401"/>
      <c r="J21" s="401"/>
      <c r="K21" s="412"/>
      <c r="L21" s="412"/>
      <c r="M21" s="412"/>
      <c r="N21" s="412"/>
      <c r="O21" s="412"/>
      <c r="P21" s="412"/>
      <c r="Q21" s="413"/>
      <c r="R21" s="414"/>
    </row>
    <row r="22" spans="2:18" ht="14.25" customHeight="1" x14ac:dyDescent="0.3">
      <c r="B22" s="409"/>
      <c r="C22" s="410"/>
      <c r="D22" s="410"/>
      <c r="E22" s="401"/>
      <c r="F22" s="401"/>
      <c r="G22" s="415"/>
      <c r="H22" s="66"/>
      <c r="I22" s="66"/>
      <c r="J22" s="416"/>
    </row>
    <row r="23" spans="2:18" ht="14.25" customHeight="1" x14ac:dyDescent="0.3">
      <c r="B23" s="541" t="s">
        <v>402</v>
      </c>
      <c r="C23" s="542"/>
      <c r="D23" s="542"/>
      <c r="E23" s="542"/>
      <c r="F23" s="543"/>
      <c r="G23" s="408"/>
      <c r="H23" s="401"/>
      <c r="I23" s="401"/>
      <c r="J23" s="411"/>
    </row>
    <row r="24" spans="2:18" ht="14.25" customHeight="1" x14ac:dyDescent="0.3">
      <c r="B24" s="541"/>
      <c r="C24" s="542"/>
      <c r="D24" s="542"/>
      <c r="E24" s="542"/>
      <c r="F24" s="543"/>
      <c r="G24" s="417"/>
      <c r="H24" s="417"/>
      <c r="I24" s="417"/>
      <c r="J24" s="411"/>
    </row>
    <row r="25" spans="2:18" ht="14.25" customHeight="1" x14ac:dyDescent="0.3">
      <c r="B25" s="541"/>
      <c r="C25" s="542"/>
      <c r="D25" s="542"/>
      <c r="E25" s="542"/>
      <c r="F25" s="543"/>
      <c r="G25" s="417"/>
      <c r="H25" s="417"/>
      <c r="I25" s="417"/>
      <c r="J25" s="411"/>
    </row>
    <row r="26" spans="2:18" ht="14.25" customHeight="1" x14ac:dyDescent="0.3">
      <c r="B26" s="541"/>
      <c r="C26" s="542"/>
      <c r="D26" s="542"/>
      <c r="E26" s="542"/>
      <c r="F26" s="543"/>
      <c r="G26" s="408"/>
      <c r="H26" s="401"/>
      <c r="I26" s="401"/>
      <c r="J26" s="411"/>
    </row>
    <row r="27" spans="2:18" ht="14.25" customHeight="1" x14ac:dyDescent="0.3">
      <c r="B27" s="541"/>
      <c r="C27" s="542"/>
      <c r="D27" s="542"/>
      <c r="E27" s="542"/>
      <c r="F27" s="543"/>
      <c r="G27" s="408"/>
      <c r="H27" s="401"/>
      <c r="I27" s="401"/>
      <c r="J27" s="411"/>
    </row>
    <row r="28" spans="2:18" ht="14.25" customHeight="1" x14ac:dyDescent="0.3">
      <c r="B28" s="541"/>
      <c r="C28" s="542"/>
      <c r="D28" s="542"/>
      <c r="E28" s="542"/>
      <c r="F28" s="543"/>
      <c r="G28" s="408"/>
      <c r="H28" s="401"/>
      <c r="I28" s="401"/>
      <c r="J28" s="411"/>
    </row>
    <row r="29" spans="2:18" ht="14.25" customHeight="1" x14ac:dyDescent="0.3">
      <c r="B29" s="541"/>
      <c r="C29" s="542"/>
      <c r="D29" s="542"/>
      <c r="E29" s="542"/>
      <c r="F29" s="543"/>
      <c r="G29" s="408"/>
      <c r="H29" s="401"/>
      <c r="I29" s="401"/>
      <c r="J29" s="411"/>
    </row>
    <row r="30" spans="2:18" ht="14.25" customHeight="1" x14ac:dyDescent="0.3">
      <c r="B30" s="541"/>
      <c r="C30" s="542"/>
      <c r="D30" s="542"/>
      <c r="E30" s="542"/>
      <c r="F30" s="543"/>
      <c r="G30" s="408"/>
      <c r="H30" s="401"/>
      <c r="I30" s="401"/>
      <c r="J30" s="411"/>
    </row>
    <row r="31" spans="2:18" ht="14.25" customHeight="1" x14ac:dyDescent="0.3">
      <c r="B31" s="541"/>
      <c r="C31" s="542"/>
      <c r="D31" s="542"/>
      <c r="E31" s="542"/>
      <c r="F31" s="543"/>
      <c r="G31" s="408"/>
      <c r="H31" s="401"/>
      <c r="I31" s="401"/>
      <c r="J31" s="411"/>
    </row>
    <row r="32" spans="2:18" ht="14.25" customHeight="1" x14ac:dyDescent="0.3">
      <c r="B32" s="541"/>
      <c r="C32" s="542"/>
      <c r="D32" s="542"/>
      <c r="E32" s="542"/>
      <c r="F32" s="543"/>
      <c r="G32" s="408"/>
      <c r="H32" s="401"/>
      <c r="I32" s="401"/>
      <c r="J32" s="411"/>
    </row>
    <row r="33" spans="2:21" ht="14.25" customHeight="1" x14ac:dyDescent="0.3">
      <c r="B33" s="541"/>
      <c r="C33" s="542"/>
      <c r="D33" s="542"/>
      <c r="E33" s="542"/>
      <c r="F33" s="543"/>
      <c r="G33" s="408"/>
      <c r="H33" s="401"/>
      <c r="I33" s="401"/>
      <c r="J33" s="411"/>
    </row>
    <row r="34" spans="2:21" ht="14.25" customHeight="1" x14ac:dyDescent="0.3">
      <c r="B34" s="541"/>
      <c r="C34" s="542"/>
      <c r="D34" s="542"/>
      <c r="E34" s="542"/>
      <c r="F34" s="543"/>
      <c r="G34" s="408"/>
      <c r="H34" s="401"/>
      <c r="I34" s="401"/>
      <c r="J34" s="411"/>
    </row>
    <row r="35" spans="2:21" ht="14.25" customHeight="1" x14ac:dyDescent="0.3">
      <c r="B35" s="541"/>
      <c r="C35" s="542"/>
      <c r="D35" s="542"/>
      <c r="E35" s="542"/>
      <c r="F35" s="543"/>
      <c r="G35" s="408"/>
      <c r="H35" s="401"/>
      <c r="I35" s="401"/>
      <c r="J35" s="411"/>
    </row>
    <row r="36" spans="2:21" ht="14.25" customHeight="1" thickBot="1" x14ac:dyDescent="0.35">
      <c r="B36" s="544"/>
      <c r="C36" s="545"/>
      <c r="D36" s="545"/>
      <c r="E36" s="545"/>
      <c r="F36" s="546"/>
      <c r="G36" s="418"/>
      <c r="H36" s="412"/>
      <c r="I36" s="412"/>
      <c r="J36" s="419"/>
    </row>
    <row r="37" spans="2:21" ht="15" thickBot="1" x14ac:dyDescent="0.35">
      <c r="E37" s="127"/>
    </row>
    <row r="38" spans="2:21" ht="21.6" thickBot="1" x14ac:dyDescent="0.35">
      <c r="B38" s="547" t="s">
        <v>404</v>
      </c>
      <c r="C38" s="548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9"/>
    </row>
    <row r="39" spans="2:21" ht="21" x14ac:dyDescent="0.3">
      <c r="B39" s="420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0"/>
      <c r="N39" s="420"/>
      <c r="O39" s="420"/>
      <c r="P39" s="420"/>
      <c r="Q39" s="420"/>
      <c r="R39" s="420"/>
    </row>
    <row r="40" spans="2:21" x14ac:dyDescent="0.3">
      <c r="E40" s="127"/>
    </row>
  </sheetData>
  <mergeCells count="5">
    <mergeCell ref="B4:C13"/>
    <mergeCell ref="B18:C21"/>
    <mergeCell ref="B23:F36"/>
    <mergeCell ref="B2:R2"/>
    <mergeCell ref="B38:U3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P98"/>
  <sheetViews>
    <sheetView showGridLines="0" workbookViewId="0">
      <pane ySplit="3" topLeftCell="A4" activePane="bottomLeft" state="frozen"/>
      <selection pane="bottomLeft" activeCell="L25" sqref="L25"/>
    </sheetView>
  </sheetViews>
  <sheetFormatPr baseColWidth="10" defaultRowHeight="14.4" x14ac:dyDescent="0.3"/>
  <cols>
    <col min="1" max="1" width="4" customWidth="1"/>
    <col min="2" max="2" width="37" customWidth="1"/>
    <col min="3" max="3" width="12.88671875" customWidth="1"/>
    <col min="4" max="4" width="11.33203125" style="23" customWidth="1"/>
    <col min="5" max="5" width="14" customWidth="1"/>
    <col min="6" max="6" width="7.6640625" customWidth="1"/>
    <col min="7" max="7" width="33.44140625" customWidth="1"/>
    <col min="11" max="11" width="8.88671875" customWidth="1"/>
    <col min="12" max="12" width="34.5546875" customWidth="1"/>
  </cols>
  <sheetData>
    <row r="1" spans="1:16" ht="21" x14ac:dyDescent="0.4">
      <c r="B1" s="105" t="s">
        <v>69</v>
      </c>
      <c r="C1" s="20"/>
      <c r="D1" s="39"/>
      <c r="E1" s="20"/>
    </row>
    <row r="2" spans="1:16" x14ac:dyDescent="0.3">
      <c r="B2" s="8"/>
      <c r="C2" s="21"/>
      <c r="D2" s="22"/>
      <c r="E2" s="22"/>
    </row>
    <row r="3" spans="1:16" s="23" customFormat="1" ht="30" customHeight="1" x14ac:dyDescent="0.3">
      <c r="A3" s="24"/>
      <c r="B3" s="27" t="s">
        <v>41</v>
      </c>
      <c r="C3" s="28" t="s">
        <v>70</v>
      </c>
      <c r="D3" s="28" t="s">
        <v>71</v>
      </c>
      <c r="E3" s="28" t="s">
        <v>138</v>
      </c>
      <c r="G3" s="27" t="s">
        <v>41</v>
      </c>
      <c r="H3" s="28" t="s">
        <v>70</v>
      </c>
      <c r="I3" s="28" t="s">
        <v>71</v>
      </c>
      <c r="J3" s="28" t="s">
        <v>138</v>
      </c>
      <c r="L3" s="466" t="s">
        <v>41</v>
      </c>
      <c r="M3" s="467"/>
      <c r="N3" s="468"/>
      <c r="O3" s="94" t="s">
        <v>189</v>
      </c>
    </row>
    <row r="4" spans="1:16" s="111" customFormat="1" x14ac:dyDescent="0.3">
      <c r="B4" s="475" t="s">
        <v>72</v>
      </c>
      <c r="C4" s="476"/>
      <c r="D4" s="476"/>
      <c r="E4" s="477"/>
      <c r="G4" s="475" t="s">
        <v>73</v>
      </c>
      <c r="H4" s="476"/>
      <c r="I4" s="476"/>
      <c r="J4" s="477"/>
      <c r="L4" s="473" t="s">
        <v>74</v>
      </c>
      <c r="M4" s="473"/>
      <c r="N4" s="473"/>
      <c r="O4" s="474"/>
    </row>
    <row r="5" spans="1:16" x14ac:dyDescent="0.3">
      <c r="B5" s="25" t="s">
        <v>75</v>
      </c>
      <c r="C5" s="26"/>
      <c r="D5" s="40"/>
      <c r="E5" s="4">
        <f>+SUM(E6:E8)</f>
        <v>51800</v>
      </c>
      <c r="G5" s="26" t="s">
        <v>197</v>
      </c>
      <c r="H5" s="40">
        <v>150</v>
      </c>
      <c r="I5" s="40">
        <v>1</v>
      </c>
      <c r="J5" s="26">
        <f>H5*I5</f>
        <v>150</v>
      </c>
      <c r="L5" s="145" t="s">
        <v>76</v>
      </c>
      <c r="M5" s="242"/>
      <c r="N5" s="243"/>
      <c r="O5" s="240">
        <f>'Costo M. Prima'!B8</f>
        <v>6768.5</v>
      </c>
    </row>
    <row r="6" spans="1:16" x14ac:dyDescent="0.3">
      <c r="B6" s="26" t="s">
        <v>77</v>
      </c>
      <c r="C6" s="108">
        <v>50000</v>
      </c>
      <c r="D6" s="40">
        <v>1</v>
      </c>
      <c r="E6" s="26">
        <f>C6*D6</f>
        <v>50000</v>
      </c>
      <c r="G6" s="234" t="s">
        <v>196</v>
      </c>
      <c r="H6" s="77">
        <v>60</v>
      </c>
      <c r="I6" s="77">
        <v>1</v>
      </c>
      <c r="J6" s="234">
        <f t="shared" ref="J6:J9" si="0">H6*I6</f>
        <v>60</v>
      </c>
      <c r="L6" s="239" t="s">
        <v>316</v>
      </c>
      <c r="M6" s="244"/>
      <c r="N6" s="243"/>
      <c r="O6" s="240">
        <f>CostosDePersonal!D9</f>
        <v>3080</v>
      </c>
    </row>
    <row r="7" spans="1:16" x14ac:dyDescent="0.3">
      <c r="B7" s="26" t="s">
        <v>79</v>
      </c>
      <c r="C7" s="108">
        <v>1500</v>
      </c>
      <c r="D7" s="40">
        <v>1</v>
      </c>
      <c r="E7" s="26">
        <f t="shared" ref="E7:E8" si="1">C7*D7</f>
        <v>1500</v>
      </c>
      <c r="G7" s="6" t="s">
        <v>78</v>
      </c>
      <c r="H7" s="78">
        <f>10</f>
        <v>10</v>
      </c>
      <c r="I7" s="78">
        <v>6</v>
      </c>
      <c r="J7" s="6">
        <f t="shared" si="0"/>
        <v>60</v>
      </c>
      <c r="L7" s="145" t="s">
        <v>81</v>
      </c>
      <c r="M7" s="245"/>
      <c r="N7" s="246"/>
      <c r="O7" s="240">
        <f>+'Otros Costos'!B11</f>
        <v>2055</v>
      </c>
    </row>
    <row r="8" spans="1:16" x14ac:dyDescent="0.3">
      <c r="B8" s="26" t="s">
        <v>167</v>
      </c>
      <c r="C8" s="108">
        <v>150</v>
      </c>
      <c r="D8" s="40">
        <v>2</v>
      </c>
      <c r="E8" s="26">
        <f t="shared" si="1"/>
        <v>300</v>
      </c>
      <c r="F8" s="71" t="s">
        <v>194</v>
      </c>
      <c r="G8" s="6" t="s">
        <v>141</v>
      </c>
      <c r="H8" s="78">
        <v>40</v>
      </c>
      <c r="I8" s="78">
        <v>1</v>
      </c>
      <c r="J8" s="6">
        <f t="shared" si="0"/>
        <v>40</v>
      </c>
      <c r="L8" s="241" t="s">
        <v>26</v>
      </c>
      <c r="M8" s="241"/>
      <c r="N8" s="241"/>
      <c r="O8" s="171">
        <f>O5+O7+O6</f>
        <v>11903.5</v>
      </c>
    </row>
    <row r="9" spans="1:16" x14ac:dyDescent="0.3">
      <c r="B9" s="25" t="s">
        <v>82</v>
      </c>
      <c r="C9" s="108"/>
      <c r="D9" s="40"/>
      <c r="E9" s="4">
        <f>+SUM(E10:E13)</f>
        <v>690</v>
      </c>
      <c r="G9" s="6" t="s">
        <v>195</v>
      </c>
      <c r="H9" s="78">
        <v>150</v>
      </c>
      <c r="I9" s="78">
        <v>2</v>
      </c>
      <c r="J9" s="6">
        <f t="shared" si="0"/>
        <v>300</v>
      </c>
      <c r="L9" s="75"/>
      <c r="M9" s="233"/>
      <c r="N9" s="233"/>
      <c r="O9" s="237"/>
      <c r="P9" s="66"/>
    </row>
    <row r="10" spans="1:16" x14ac:dyDescent="0.3">
      <c r="B10" s="26" t="s">
        <v>83</v>
      </c>
      <c r="C10" s="108">
        <v>80</v>
      </c>
      <c r="D10" s="40">
        <v>2</v>
      </c>
      <c r="E10" s="26">
        <f>C10*D10</f>
        <v>160</v>
      </c>
      <c r="G10" s="6" t="s">
        <v>198</v>
      </c>
      <c r="H10" s="78">
        <v>1500</v>
      </c>
      <c r="I10" s="78">
        <v>1</v>
      </c>
      <c r="J10" s="6">
        <f t="shared" ref="J10" si="2">H10*I10</f>
        <v>1500</v>
      </c>
      <c r="L10" s="75"/>
      <c r="M10" s="233"/>
      <c r="N10" s="233"/>
      <c r="O10" s="237"/>
      <c r="P10" s="66"/>
    </row>
    <row r="11" spans="1:16" x14ac:dyDescent="0.3">
      <c r="B11" s="26" t="s">
        <v>84</v>
      </c>
      <c r="C11" s="108">
        <v>40</v>
      </c>
      <c r="D11" s="40">
        <v>3</v>
      </c>
      <c r="E11" s="26">
        <f t="shared" ref="E11:E13" si="3">C11*D11</f>
        <v>120</v>
      </c>
      <c r="G11" s="145" t="s">
        <v>317</v>
      </c>
      <c r="H11" s="244"/>
      <c r="I11" s="243"/>
      <c r="J11" s="248">
        <f>SUM(J5:J10)</f>
        <v>2110</v>
      </c>
      <c r="L11" s="66"/>
      <c r="M11" s="66"/>
      <c r="N11" s="66"/>
      <c r="O11" s="66"/>
      <c r="P11" s="66"/>
    </row>
    <row r="12" spans="1:16" ht="15" customHeight="1" x14ac:dyDescent="0.3">
      <c r="B12" s="26" t="s">
        <v>85</v>
      </c>
      <c r="C12" s="108">
        <v>150</v>
      </c>
      <c r="D12" s="40">
        <v>2</v>
      </c>
      <c r="E12" s="26">
        <f t="shared" si="3"/>
        <v>300</v>
      </c>
      <c r="G12" s="247" t="s">
        <v>310</v>
      </c>
      <c r="H12" s="6"/>
      <c r="I12" s="6"/>
      <c r="J12" s="236"/>
      <c r="L12" s="75"/>
      <c r="M12" s="233"/>
      <c r="N12" s="233"/>
      <c r="O12" s="237"/>
      <c r="P12" s="66"/>
    </row>
    <row r="13" spans="1:16" x14ac:dyDescent="0.3">
      <c r="B13" s="26" t="s">
        <v>140</v>
      </c>
      <c r="C13" s="108">
        <v>110</v>
      </c>
      <c r="D13" s="40">
        <v>1</v>
      </c>
      <c r="E13" s="26">
        <f t="shared" si="3"/>
        <v>110</v>
      </c>
      <c r="G13" s="6" t="s">
        <v>310</v>
      </c>
      <c r="H13" s="6"/>
      <c r="I13" s="6"/>
      <c r="J13" s="236">
        <f>SUM(J14:J18)</f>
        <v>450</v>
      </c>
      <c r="L13" s="238"/>
      <c r="M13" s="233"/>
      <c r="N13" s="233"/>
      <c r="O13" s="187"/>
      <c r="P13" s="66"/>
    </row>
    <row r="14" spans="1:16" x14ac:dyDescent="0.3">
      <c r="B14" s="25" t="s">
        <v>86</v>
      </c>
      <c r="C14" s="108"/>
      <c r="D14" s="40"/>
      <c r="E14" s="4">
        <f>+SUM(E15:E22)</f>
        <v>7595</v>
      </c>
      <c r="G14" s="6" t="s">
        <v>311</v>
      </c>
      <c r="H14" s="16">
        <v>70</v>
      </c>
      <c r="I14" s="78">
        <v>1</v>
      </c>
      <c r="J14" s="236">
        <f>H14*I14</f>
        <v>70</v>
      </c>
      <c r="L14" s="66"/>
      <c r="M14" s="66"/>
      <c r="N14" s="66"/>
      <c r="O14" s="66"/>
      <c r="P14" s="66"/>
    </row>
    <row r="15" spans="1:16" x14ac:dyDescent="0.3">
      <c r="B15" s="26" t="s">
        <v>227</v>
      </c>
      <c r="C15" s="108">
        <v>3650</v>
      </c>
      <c r="D15" s="40">
        <v>1</v>
      </c>
      <c r="E15" s="26">
        <f>C15*D15</f>
        <v>3650</v>
      </c>
      <c r="G15" s="6" t="s">
        <v>312</v>
      </c>
      <c r="H15" s="16">
        <v>50</v>
      </c>
      <c r="I15" s="78">
        <v>1</v>
      </c>
      <c r="J15" s="236">
        <f t="shared" ref="J15:J18" si="4">H15*I15</f>
        <v>50</v>
      </c>
      <c r="P15" s="66"/>
    </row>
    <row r="16" spans="1:16" x14ac:dyDescent="0.3">
      <c r="B16" s="26" t="s">
        <v>88</v>
      </c>
      <c r="C16" s="108">
        <v>135</v>
      </c>
      <c r="D16" s="40">
        <v>1</v>
      </c>
      <c r="E16" s="26">
        <f t="shared" ref="E16:E22" si="5">C16*D16</f>
        <v>135</v>
      </c>
      <c r="G16" s="6" t="s">
        <v>313</v>
      </c>
      <c r="H16" s="16">
        <v>30</v>
      </c>
      <c r="I16" s="78">
        <v>1</v>
      </c>
      <c r="J16" s="236">
        <f t="shared" si="4"/>
        <v>30</v>
      </c>
      <c r="N16" s="66"/>
      <c r="O16" s="66"/>
      <c r="P16" s="66"/>
    </row>
    <row r="17" spans="2:16" x14ac:dyDescent="0.3">
      <c r="B17" s="26" t="s">
        <v>89</v>
      </c>
      <c r="C17" s="108">
        <v>60</v>
      </c>
      <c r="D17" s="40">
        <v>1</v>
      </c>
      <c r="E17" s="26">
        <f t="shared" si="5"/>
        <v>60</v>
      </c>
      <c r="G17" s="6" t="s">
        <v>314</v>
      </c>
      <c r="H17" s="16">
        <v>200</v>
      </c>
      <c r="I17" s="78">
        <v>1</v>
      </c>
      <c r="J17" s="236">
        <f t="shared" si="4"/>
        <v>200</v>
      </c>
      <c r="N17" s="66"/>
      <c r="O17" s="66"/>
      <c r="P17" s="66"/>
    </row>
    <row r="18" spans="2:16" x14ac:dyDescent="0.3">
      <c r="B18" s="26" t="s">
        <v>90</v>
      </c>
      <c r="C18" s="108">
        <v>1200</v>
      </c>
      <c r="D18" s="40">
        <v>1</v>
      </c>
      <c r="E18" s="26">
        <f t="shared" si="5"/>
        <v>1200</v>
      </c>
      <c r="G18" s="6" t="s">
        <v>315</v>
      </c>
      <c r="H18" s="16">
        <v>100</v>
      </c>
      <c r="I18" s="78">
        <v>1</v>
      </c>
      <c r="J18" s="236">
        <f t="shared" si="4"/>
        <v>100</v>
      </c>
      <c r="N18" s="66"/>
      <c r="O18" s="66"/>
      <c r="P18" s="66"/>
    </row>
    <row r="19" spans="2:16" x14ac:dyDescent="0.3">
      <c r="B19" s="26" t="s">
        <v>91</v>
      </c>
      <c r="C19" s="108">
        <v>200</v>
      </c>
      <c r="D19" s="40">
        <v>1</v>
      </c>
      <c r="E19" s="26">
        <f t="shared" si="5"/>
        <v>200</v>
      </c>
      <c r="G19" s="235" t="s">
        <v>26</v>
      </c>
      <c r="H19" s="235"/>
      <c r="I19" s="235"/>
      <c r="J19" s="170">
        <f>J11+J13</f>
        <v>2560</v>
      </c>
      <c r="N19" s="66"/>
      <c r="O19" s="66"/>
      <c r="P19" s="66"/>
    </row>
    <row r="20" spans="2:16" x14ac:dyDescent="0.3">
      <c r="B20" s="26" t="s">
        <v>92</v>
      </c>
      <c r="C20" s="108">
        <v>500</v>
      </c>
      <c r="D20" s="40">
        <v>1</v>
      </c>
      <c r="E20" s="26">
        <f t="shared" si="5"/>
        <v>500</v>
      </c>
      <c r="N20" s="66"/>
      <c r="O20" s="66"/>
      <c r="P20" s="66"/>
    </row>
    <row r="21" spans="2:16" x14ac:dyDescent="0.3">
      <c r="B21" s="26" t="s">
        <v>226</v>
      </c>
      <c r="C21" s="108">
        <v>1500</v>
      </c>
      <c r="D21" s="40">
        <v>1</v>
      </c>
      <c r="E21" s="26">
        <f t="shared" si="5"/>
        <v>1500</v>
      </c>
      <c r="P21" s="66"/>
    </row>
    <row r="22" spans="2:16" x14ac:dyDescent="0.3">
      <c r="B22" s="26" t="s">
        <v>87</v>
      </c>
      <c r="C22" s="108">
        <v>350</v>
      </c>
      <c r="D22" s="40">
        <v>1</v>
      </c>
      <c r="E22" s="26">
        <f t="shared" si="5"/>
        <v>350</v>
      </c>
      <c r="G22" s="21"/>
      <c r="H22" s="21"/>
      <c r="I22" s="21"/>
      <c r="J22" s="110"/>
      <c r="P22" s="66"/>
    </row>
    <row r="23" spans="2:16" x14ac:dyDescent="0.3">
      <c r="B23" s="25" t="s">
        <v>96</v>
      </c>
      <c r="C23" s="108"/>
      <c r="D23" s="40"/>
      <c r="E23" s="72">
        <f>E24+E28</f>
        <v>5811</v>
      </c>
      <c r="P23" s="66"/>
    </row>
    <row r="24" spans="2:16" x14ac:dyDescent="0.3">
      <c r="B24" s="41" t="s">
        <v>97</v>
      </c>
      <c r="C24" s="112"/>
      <c r="D24" s="77"/>
      <c r="E24" s="113">
        <f>SUM(E25:E27)</f>
        <v>1040</v>
      </c>
      <c r="P24" s="66"/>
    </row>
    <row r="25" spans="2:16" x14ac:dyDescent="0.3">
      <c r="B25" s="6" t="s">
        <v>98</v>
      </c>
      <c r="C25" s="114">
        <v>335</v>
      </c>
      <c r="D25" s="115">
        <v>2</v>
      </c>
      <c r="E25" s="26">
        <f>C25*D25</f>
        <v>670</v>
      </c>
      <c r="P25" s="66"/>
    </row>
    <row r="26" spans="2:16" x14ac:dyDescent="0.3">
      <c r="B26" s="116" t="s">
        <v>100</v>
      </c>
      <c r="C26" s="108">
        <v>120</v>
      </c>
      <c r="D26" s="40">
        <v>2.5</v>
      </c>
      <c r="E26" s="26">
        <f t="shared" ref="E26:E27" si="6">C26*D26</f>
        <v>300</v>
      </c>
      <c r="G26" s="66"/>
      <c r="H26" s="66"/>
      <c r="I26" s="66"/>
      <c r="J26" s="66"/>
    </row>
    <row r="27" spans="2:16" x14ac:dyDescent="0.3">
      <c r="B27" s="117" t="s">
        <v>101</v>
      </c>
      <c r="C27" s="118">
        <v>70</v>
      </c>
      <c r="D27" s="119">
        <v>1</v>
      </c>
      <c r="E27" s="26">
        <f t="shared" si="6"/>
        <v>70</v>
      </c>
      <c r="G27" s="66"/>
      <c r="H27" s="66"/>
      <c r="I27" s="66"/>
      <c r="J27" s="66"/>
    </row>
    <row r="28" spans="2:16" x14ac:dyDescent="0.3">
      <c r="B28" s="70" t="s">
        <v>102</v>
      </c>
      <c r="C28" s="114"/>
      <c r="D28" s="115"/>
      <c r="E28" s="4">
        <f>+SUM(E29:E32)</f>
        <v>4771</v>
      </c>
      <c r="G28" s="66"/>
      <c r="H28" s="24"/>
      <c r="I28" s="24"/>
      <c r="J28" s="66"/>
    </row>
    <row r="29" spans="2:16" x14ac:dyDescent="0.3">
      <c r="B29" s="120" t="s">
        <v>103</v>
      </c>
      <c r="C29" s="108">
        <v>200</v>
      </c>
      <c r="D29" s="40">
        <v>19</v>
      </c>
      <c r="E29" s="26">
        <f>C29*D29</f>
        <v>3800</v>
      </c>
      <c r="G29" s="75"/>
      <c r="H29" s="66"/>
      <c r="I29" s="66"/>
      <c r="J29" s="66"/>
    </row>
    <row r="30" spans="2:16" x14ac:dyDescent="0.3">
      <c r="B30" s="116" t="s">
        <v>139</v>
      </c>
      <c r="C30" s="108">
        <v>140</v>
      </c>
      <c r="D30" s="40">
        <v>1</v>
      </c>
      <c r="E30" s="26">
        <f t="shared" ref="E30:E32" si="7">C30*D30</f>
        <v>140</v>
      </c>
      <c r="G30" s="21"/>
      <c r="H30" s="21"/>
      <c r="I30" s="21"/>
      <c r="J30" s="76"/>
    </row>
    <row r="31" spans="2:16" x14ac:dyDescent="0.3">
      <c r="B31" s="116" t="s">
        <v>219</v>
      </c>
      <c r="C31" s="108">
        <v>12.5</v>
      </c>
      <c r="D31" s="40">
        <v>18</v>
      </c>
      <c r="E31" s="26">
        <f t="shared" si="7"/>
        <v>225</v>
      </c>
      <c r="G31" s="21"/>
      <c r="H31" s="21"/>
      <c r="I31" s="21"/>
      <c r="J31" s="76"/>
    </row>
    <row r="32" spans="2:16" x14ac:dyDescent="0.3">
      <c r="B32" s="117" t="s">
        <v>220</v>
      </c>
      <c r="C32" s="118">
        <f>228+78+72+108+72+48</f>
        <v>606</v>
      </c>
      <c r="D32" s="119">
        <v>1</v>
      </c>
      <c r="E32" s="26">
        <f t="shared" si="7"/>
        <v>606</v>
      </c>
      <c r="G32" s="21"/>
      <c r="H32" s="21"/>
      <c r="I32" s="21"/>
      <c r="J32" s="76"/>
    </row>
    <row r="33" spans="2:5" ht="12.75" customHeight="1" x14ac:dyDescent="0.3">
      <c r="B33" s="123" t="s">
        <v>104</v>
      </c>
      <c r="C33" s="124"/>
      <c r="D33" s="115"/>
      <c r="E33" s="4">
        <f>+SUM(E34:E51)</f>
        <v>7496.5</v>
      </c>
    </row>
    <row r="34" spans="2:5" x14ac:dyDescent="0.3">
      <c r="B34" s="116" t="s">
        <v>160</v>
      </c>
      <c r="C34" s="108">
        <f>3200+2400+400</f>
        <v>6000</v>
      </c>
      <c r="D34" s="40">
        <v>1</v>
      </c>
      <c r="E34" s="121">
        <f>C34*D34</f>
        <v>6000</v>
      </c>
    </row>
    <row r="35" spans="2:5" x14ac:dyDescent="0.3">
      <c r="B35" s="116" t="s">
        <v>163</v>
      </c>
      <c r="C35" s="108">
        <v>200</v>
      </c>
      <c r="D35" s="40">
        <v>1</v>
      </c>
      <c r="E35" s="121">
        <f t="shared" ref="E35:E51" si="8">C35*D35</f>
        <v>200</v>
      </c>
    </row>
    <row r="36" spans="2:5" x14ac:dyDescent="0.3">
      <c r="B36" s="116" t="s">
        <v>161</v>
      </c>
      <c r="C36" s="108">
        <v>300</v>
      </c>
      <c r="D36" s="40">
        <v>1</v>
      </c>
      <c r="E36" s="121">
        <f t="shared" si="8"/>
        <v>300</v>
      </c>
    </row>
    <row r="37" spans="2:5" x14ac:dyDescent="0.3">
      <c r="B37" s="116" t="s">
        <v>162</v>
      </c>
      <c r="C37" s="108">
        <f>150+80+70</f>
        <v>300</v>
      </c>
      <c r="D37" s="40">
        <v>1</v>
      </c>
      <c r="E37" s="121">
        <f t="shared" si="8"/>
        <v>300</v>
      </c>
    </row>
    <row r="38" spans="2:5" x14ac:dyDescent="0.3">
      <c r="B38" s="116" t="s">
        <v>105</v>
      </c>
      <c r="C38" s="108">
        <v>100</v>
      </c>
      <c r="D38" s="40">
        <v>1</v>
      </c>
      <c r="E38" s="121">
        <f t="shared" si="8"/>
        <v>100</v>
      </c>
    </row>
    <row r="39" spans="2:5" x14ac:dyDescent="0.3">
      <c r="B39" s="116" t="s">
        <v>106</v>
      </c>
      <c r="C39" s="108">
        <v>15</v>
      </c>
      <c r="D39" s="40">
        <v>3</v>
      </c>
      <c r="E39" s="121">
        <f t="shared" si="8"/>
        <v>45</v>
      </c>
    </row>
    <row r="40" spans="2:5" x14ac:dyDescent="0.3">
      <c r="B40" s="116" t="s">
        <v>109</v>
      </c>
      <c r="C40" s="109">
        <v>14</v>
      </c>
      <c r="D40" s="40">
        <v>2</v>
      </c>
      <c r="E40" s="121">
        <f t="shared" si="8"/>
        <v>28</v>
      </c>
    </row>
    <row r="41" spans="2:5" x14ac:dyDescent="0.3">
      <c r="B41" s="116" t="s">
        <v>110</v>
      </c>
      <c r="C41" s="109">
        <v>10</v>
      </c>
      <c r="D41" s="40">
        <v>1</v>
      </c>
      <c r="E41" s="121">
        <f t="shared" si="8"/>
        <v>10</v>
      </c>
    </row>
    <row r="42" spans="2:5" x14ac:dyDescent="0.3">
      <c r="B42" s="116" t="s">
        <v>111</v>
      </c>
      <c r="C42" s="108">
        <f>150</f>
        <v>150</v>
      </c>
      <c r="D42" s="40">
        <v>1</v>
      </c>
      <c r="E42" s="121">
        <f t="shared" si="8"/>
        <v>150</v>
      </c>
    </row>
    <row r="43" spans="2:5" x14ac:dyDescent="0.3">
      <c r="B43" s="116" t="s">
        <v>112</v>
      </c>
      <c r="C43" s="108">
        <v>1.5</v>
      </c>
      <c r="D43" s="40">
        <v>5</v>
      </c>
      <c r="E43" s="121">
        <f t="shared" si="8"/>
        <v>7.5</v>
      </c>
    </row>
    <row r="44" spans="2:5" x14ac:dyDescent="0.3">
      <c r="B44" s="116" t="s">
        <v>168</v>
      </c>
      <c r="C44" s="108">
        <v>30</v>
      </c>
      <c r="D44" s="40">
        <v>3</v>
      </c>
      <c r="E44" s="121">
        <f t="shared" si="8"/>
        <v>90</v>
      </c>
    </row>
    <row r="45" spans="2:5" x14ac:dyDescent="0.3">
      <c r="B45" s="116" t="s">
        <v>113</v>
      </c>
      <c r="C45" s="108">
        <v>80</v>
      </c>
      <c r="D45" s="40">
        <v>1</v>
      </c>
      <c r="E45" s="121">
        <f t="shared" si="8"/>
        <v>80</v>
      </c>
    </row>
    <row r="46" spans="2:5" x14ac:dyDescent="0.3">
      <c r="B46" s="116" t="s">
        <v>114</v>
      </c>
      <c r="C46" s="108">
        <v>15</v>
      </c>
      <c r="D46" s="40">
        <v>2</v>
      </c>
      <c r="E46" s="121">
        <f t="shared" si="8"/>
        <v>30</v>
      </c>
    </row>
    <row r="47" spans="2:5" x14ac:dyDescent="0.3">
      <c r="B47" s="116" t="s">
        <v>115</v>
      </c>
      <c r="C47" s="108">
        <f>17+5+10</f>
        <v>32</v>
      </c>
      <c r="D47" s="40">
        <v>1</v>
      </c>
      <c r="E47" s="121">
        <f t="shared" si="8"/>
        <v>32</v>
      </c>
    </row>
    <row r="48" spans="2:5" x14ac:dyDescent="0.3">
      <c r="B48" s="116" t="s">
        <v>117</v>
      </c>
      <c r="C48" s="108">
        <v>10</v>
      </c>
      <c r="D48" s="40">
        <v>5</v>
      </c>
      <c r="E48" s="121">
        <f t="shared" si="8"/>
        <v>50</v>
      </c>
    </row>
    <row r="49" spans="1:7" x14ac:dyDescent="0.3">
      <c r="B49" s="116" t="s">
        <v>118</v>
      </c>
      <c r="C49" s="108">
        <v>1</v>
      </c>
      <c r="D49" s="40">
        <v>4</v>
      </c>
      <c r="E49" s="121">
        <f t="shared" si="8"/>
        <v>4</v>
      </c>
    </row>
    <row r="50" spans="1:7" x14ac:dyDescent="0.3">
      <c r="B50" s="116" t="s">
        <v>164</v>
      </c>
      <c r="C50" s="108">
        <v>20</v>
      </c>
      <c r="D50" s="40">
        <v>2</v>
      </c>
      <c r="E50" s="121">
        <f t="shared" si="8"/>
        <v>40</v>
      </c>
    </row>
    <row r="51" spans="1:7" x14ac:dyDescent="0.3">
      <c r="B51" s="116" t="s">
        <v>119</v>
      </c>
      <c r="C51" s="108">
        <v>30</v>
      </c>
      <c r="D51" s="40">
        <v>1</v>
      </c>
      <c r="E51" s="121">
        <f t="shared" si="8"/>
        <v>30</v>
      </c>
    </row>
    <row r="52" spans="1:7" x14ac:dyDescent="0.3">
      <c r="B52" s="123" t="s">
        <v>120</v>
      </c>
      <c r="C52" s="124"/>
      <c r="D52" s="115"/>
      <c r="E52" s="4">
        <f>+SUM(E53:E76)</f>
        <v>2290</v>
      </c>
    </row>
    <row r="53" spans="1:7" x14ac:dyDescent="0.3">
      <c r="A53" s="71" t="s">
        <v>192</v>
      </c>
      <c r="B53" s="116" t="s">
        <v>121</v>
      </c>
      <c r="C53" s="108">
        <v>102</v>
      </c>
      <c r="D53" s="40">
        <v>2</v>
      </c>
      <c r="E53" s="121">
        <f>C53*D53</f>
        <v>204</v>
      </c>
    </row>
    <row r="54" spans="1:7" x14ac:dyDescent="0.3">
      <c r="A54" s="71" t="s">
        <v>192</v>
      </c>
      <c r="B54" s="116" t="s">
        <v>122</v>
      </c>
      <c r="C54" s="108">
        <v>102</v>
      </c>
      <c r="D54" s="40">
        <v>3</v>
      </c>
      <c r="E54" s="121">
        <f t="shared" ref="E54:E76" si="9">C54*D54</f>
        <v>306</v>
      </c>
    </row>
    <row r="55" spans="1:7" x14ac:dyDescent="0.3">
      <c r="A55" s="71" t="s">
        <v>193</v>
      </c>
      <c r="B55" s="116" t="s">
        <v>165</v>
      </c>
      <c r="C55" s="108">
        <v>72</v>
      </c>
      <c r="D55" s="40">
        <v>2</v>
      </c>
      <c r="E55" s="121">
        <f t="shared" si="9"/>
        <v>144</v>
      </c>
    </row>
    <row r="56" spans="1:7" x14ac:dyDescent="0.3">
      <c r="A56" s="71" t="s">
        <v>192</v>
      </c>
      <c r="B56" s="116" t="s">
        <v>123</v>
      </c>
      <c r="C56" s="108">
        <v>166</v>
      </c>
      <c r="D56" s="40">
        <v>1</v>
      </c>
      <c r="E56" s="121">
        <f t="shared" si="9"/>
        <v>166</v>
      </c>
    </row>
    <row r="57" spans="1:7" x14ac:dyDescent="0.3">
      <c r="A57" s="71" t="s">
        <v>192</v>
      </c>
      <c r="B57" s="116" t="s">
        <v>124</v>
      </c>
      <c r="C57" s="108">
        <v>20</v>
      </c>
      <c r="D57" s="40">
        <v>1</v>
      </c>
      <c r="E57" s="121">
        <f t="shared" si="9"/>
        <v>20</v>
      </c>
    </row>
    <row r="58" spans="1:7" x14ac:dyDescent="0.3">
      <c r="A58" s="71"/>
      <c r="B58" s="116" t="s">
        <v>166</v>
      </c>
      <c r="C58" s="108">
        <v>24</v>
      </c>
      <c r="D58" s="40">
        <v>6</v>
      </c>
      <c r="E58" s="121">
        <f t="shared" si="9"/>
        <v>144</v>
      </c>
    </row>
    <row r="59" spans="1:7" x14ac:dyDescent="0.3">
      <c r="A59" s="71"/>
      <c r="B59" s="116" t="s">
        <v>221</v>
      </c>
      <c r="C59" s="108">
        <v>25</v>
      </c>
      <c r="D59" s="40">
        <v>3</v>
      </c>
      <c r="E59" s="121">
        <f t="shared" si="9"/>
        <v>75</v>
      </c>
    </row>
    <row r="60" spans="1:7" x14ac:dyDescent="0.3">
      <c r="A60" s="71"/>
      <c r="B60" s="116" t="s">
        <v>222</v>
      </c>
      <c r="C60" s="108">
        <v>20</v>
      </c>
      <c r="D60" s="40">
        <v>3</v>
      </c>
      <c r="E60" s="121">
        <f t="shared" si="9"/>
        <v>60</v>
      </c>
      <c r="G60" s="6" t="s">
        <v>190</v>
      </c>
    </row>
    <row r="61" spans="1:7" x14ac:dyDescent="0.3">
      <c r="B61" s="116" t="s">
        <v>125</v>
      </c>
      <c r="C61" s="108">
        <v>60</v>
      </c>
      <c r="D61" s="40">
        <v>2</v>
      </c>
      <c r="E61" s="121">
        <f t="shared" si="9"/>
        <v>120</v>
      </c>
      <c r="G61" s="42" t="s">
        <v>93</v>
      </c>
    </row>
    <row r="62" spans="1:7" x14ac:dyDescent="0.3">
      <c r="B62" s="116" t="s">
        <v>126</v>
      </c>
      <c r="C62" s="108">
        <v>11</v>
      </c>
      <c r="D62" s="40">
        <v>8</v>
      </c>
      <c r="E62" s="121">
        <f t="shared" si="9"/>
        <v>88</v>
      </c>
      <c r="G62" s="26" t="s">
        <v>94</v>
      </c>
    </row>
    <row r="63" spans="1:7" x14ac:dyDescent="0.3">
      <c r="B63" s="116" t="s">
        <v>127</v>
      </c>
      <c r="C63" s="108">
        <v>20</v>
      </c>
      <c r="D63" s="40">
        <v>4</v>
      </c>
      <c r="E63" s="121">
        <f t="shared" si="9"/>
        <v>80</v>
      </c>
      <c r="G63" s="26" t="s">
        <v>95</v>
      </c>
    </row>
    <row r="64" spans="1:7" x14ac:dyDescent="0.3">
      <c r="B64" s="116" t="s">
        <v>128</v>
      </c>
      <c r="C64" s="108">
        <v>11</v>
      </c>
      <c r="D64" s="40">
        <v>12</v>
      </c>
      <c r="E64" s="121">
        <f t="shared" si="9"/>
        <v>132</v>
      </c>
      <c r="G64" s="42" t="s">
        <v>99</v>
      </c>
    </row>
    <row r="65" spans="2:7" x14ac:dyDescent="0.3">
      <c r="B65" s="116" t="s">
        <v>129</v>
      </c>
      <c r="C65" s="108">
        <v>14</v>
      </c>
      <c r="D65" s="40">
        <v>3</v>
      </c>
      <c r="E65" s="121">
        <f t="shared" si="9"/>
        <v>42</v>
      </c>
      <c r="G65" s="42" t="s">
        <v>191</v>
      </c>
    </row>
    <row r="66" spans="2:7" x14ac:dyDescent="0.3">
      <c r="B66" s="116" t="s">
        <v>131</v>
      </c>
      <c r="C66" s="108">
        <v>13</v>
      </c>
      <c r="D66" s="40">
        <v>5</v>
      </c>
      <c r="E66" s="121">
        <f t="shared" si="9"/>
        <v>65</v>
      </c>
      <c r="G66" s="42" t="s">
        <v>107</v>
      </c>
    </row>
    <row r="67" spans="2:7" x14ac:dyDescent="0.3">
      <c r="B67" s="116" t="s">
        <v>132</v>
      </c>
      <c r="C67" s="108">
        <v>12</v>
      </c>
      <c r="D67" s="40">
        <v>5</v>
      </c>
      <c r="E67" s="121">
        <f t="shared" si="9"/>
        <v>60</v>
      </c>
      <c r="G67" s="42" t="s">
        <v>108</v>
      </c>
    </row>
    <row r="68" spans="2:7" x14ac:dyDescent="0.3">
      <c r="B68" s="116" t="s">
        <v>133</v>
      </c>
      <c r="C68" s="108">
        <v>13</v>
      </c>
      <c r="D68" s="40">
        <v>5</v>
      </c>
      <c r="E68" s="121">
        <f t="shared" si="9"/>
        <v>65</v>
      </c>
      <c r="G68" s="42" t="s">
        <v>116</v>
      </c>
    </row>
    <row r="69" spans="2:7" x14ac:dyDescent="0.3">
      <c r="B69" s="116" t="s">
        <v>111</v>
      </c>
      <c r="C69" s="108">
        <v>15</v>
      </c>
      <c r="D69" s="40">
        <v>5</v>
      </c>
      <c r="E69" s="121">
        <f t="shared" si="9"/>
        <v>75</v>
      </c>
      <c r="G69" s="26" t="s">
        <v>130</v>
      </c>
    </row>
    <row r="70" spans="2:7" x14ac:dyDescent="0.3">
      <c r="B70" s="116" t="s">
        <v>134</v>
      </c>
      <c r="C70" s="108">
        <v>23</v>
      </c>
      <c r="D70" s="40">
        <v>8</v>
      </c>
      <c r="E70" s="121">
        <f t="shared" si="9"/>
        <v>184</v>
      </c>
      <c r="G70" s="26" t="s">
        <v>225</v>
      </c>
    </row>
    <row r="71" spans="2:7" x14ac:dyDescent="0.3">
      <c r="B71" s="116" t="s">
        <v>135</v>
      </c>
      <c r="C71" s="108">
        <v>1.5</v>
      </c>
      <c r="D71" s="40">
        <v>18</v>
      </c>
      <c r="E71" s="121">
        <f t="shared" si="9"/>
        <v>27</v>
      </c>
    </row>
    <row r="72" spans="2:7" x14ac:dyDescent="0.3">
      <c r="B72" s="116" t="s">
        <v>223</v>
      </c>
      <c r="C72" s="108">
        <v>3.5</v>
      </c>
      <c r="D72" s="40">
        <v>18</v>
      </c>
      <c r="E72" s="121">
        <f t="shared" si="9"/>
        <v>63</v>
      </c>
    </row>
    <row r="73" spans="2:7" x14ac:dyDescent="0.3">
      <c r="B73" s="116" t="s">
        <v>224</v>
      </c>
      <c r="C73" s="108">
        <v>1</v>
      </c>
      <c r="D73" s="40">
        <v>18</v>
      </c>
      <c r="E73" s="121">
        <f t="shared" si="9"/>
        <v>18</v>
      </c>
    </row>
    <row r="74" spans="2:7" x14ac:dyDescent="0.3">
      <c r="B74" s="116" t="s">
        <v>199</v>
      </c>
      <c r="C74" s="108">
        <v>18</v>
      </c>
      <c r="D74" s="40">
        <v>4</v>
      </c>
      <c r="E74" s="121">
        <f t="shared" si="9"/>
        <v>72</v>
      </c>
    </row>
    <row r="75" spans="2:7" x14ac:dyDescent="0.3">
      <c r="B75" s="116" t="s">
        <v>136</v>
      </c>
      <c r="C75" s="108">
        <v>22</v>
      </c>
      <c r="D75" s="40">
        <v>2</v>
      </c>
      <c r="E75" s="121">
        <f t="shared" si="9"/>
        <v>44</v>
      </c>
    </row>
    <row r="76" spans="2:7" x14ac:dyDescent="0.3">
      <c r="B76" s="117" t="s">
        <v>137</v>
      </c>
      <c r="C76" s="118">
        <v>3</v>
      </c>
      <c r="D76" s="119">
        <v>12</v>
      </c>
      <c r="E76" s="122">
        <f t="shared" si="9"/>
        <v>36</v>
      </c>
    </row>
    <row r="77" spans="2:7" x14ac:dyDescent="0.3">
      <c r="B77" s="249" t="s">
        <v>80</v>
      </c>
      <c r="C77" s="250"/>
      <c r="D77" s="251"/>
      <c r="E77" s="252">
        <f>E5+E9+E14+E23+E33+E52</f>
        <v>75682.5</v>
      </c>
    </row>
    <row r="80" spans="2:7" ht="26.4" x14ac:dyDescent="0.3">
      <c r="B80" s="151" t="s">
        <v>41</v>
      </c>
      <c r="C80" s="152" t="s">
        <v>243</v>
      </c>
      <c r="D80" s="147"/>
      <c r="E80" s="147"/>
    </row>
    <row r="81" spans="2:4" x14ac:dyDescent="0.3">
      <c r="B81" s="469" t="s">
        <v>244</v>
      </c>
      <c r="C81" s="470"/>
      <c r="D81" s="24"/>
    </row>
    <row r="82" spans="2:4" x14ac:dyDescent="0.3">
      <c r="B82" s="153" t="s">
        <v>75</v>
      </c>
      <c r="C82" s="150">
        <v>51800</v>
      </c>
      <c r="D82" s="148"/>
    </row>
    <row r="83" spans="2:4" x14ac:dyDescent="0.3">
      <c r="B83" s="154" t="s">
        <v>82</v>
      </c>
      <c r="C83" s="2">
        <v>690</v>
      </c>
      <c r="D83" s="148"/>
    </row>
    <row r="84" spans="2:4" x14ac:dyDescent="0.3">
      <c r="B84" s="155" t="s">
        <v>86</v>
      </c>
      <c r="C84" s="2">
        <v>7595</v>
      </c>
      <c r="D84" s="148"/>
    </row>
    <row r="85" spans="2:4" x14ac:dyDescent="0.3">
      <c r="B85" s="155" t="s">
        <v>96</v>
      </c>
      <c r="C85" s="156">
        <v>5811</v>
      </c>
      <c r="D85" s="148"/>
    </row>
    <row r="86" spans="2:4" x14ac:dyDescent="0.3">
      <c r="B86" s="157" t="s">
        <v>104</v>
      </c>
      <c r="C86" s="149">
        <v>7496.5</v>
      </c>
      <c r="D86" s="148"/>
    </row>
    <row r="87" spans="2:4" x14ac:dyDescent="0.3">
      <c r="B87" s="154" t="s">
        <v>120</v>
      </c>
      <c r="C87" s="2">
        <v>2290</v>
      </c>
      <c r="D87" s="148"/>
    </row>
    <row r="88" spans="2:4" x14ac:dyDescent="0.3">
      <c r="B88" s="158" t="s">
        <v>247</v>
      </c>
      <c r="C88" s="159">
        <f>SUM(C82:C87)</f>
        <v>75682.5</v>
      </c>
      <c r="D88" s="148"/>
    </row>
    <row r="89" spans="2:4" x14ac:dyDescent="0.3">
      <c r="B89" s="471" t="s">
        <v>248</v>
      </c>
      <c r="C89" s="472"/>
      <c r="D89" s="148"/>
    </row>
    <row r="90" spans="2:4" x14ac:dyDescent="0.3">
      <c r="B90" s="160" t="s">
        <v>245</v>
      </c>
      <c r="C90" s="2">
        <v>2110</v>
      </c>
      <c r="D90" s="24"/>
    </row>
    <row r="91" spans="2:4" x14ac:dyDescent="0.3">
      <c r="B91" s="161" t="s">
        <v>249</v>
      </c>
      <c r="C91" s="159">
        <f>C90</f>
        <v>2110</v>
      </c>
      <c r="D91" s="24"/>
    </row>
    <row r="92" spans="2:4" x14ac:dyDescent="0.3">
      <c r="B92" s="160" t="s">
        <v>318</v>
      </c>
      <c r="C92" s="253">
        <f>J13</f>
        <v>450</v>
      </c>
      <c r="D92" s="24"/>
    </row>
    <row r="93" spans="2:4" x14ac:dyDescent="0.3">
      <c r="B93" s="162" t="s">
        <v>250</v>
      </c>
      <c r="C93" s="163"/>
      <c r="D93" s="24"/>
    </row>
    <row r="94" spans="2:4" x14ac:dyDescent="0.3">
      <c r="B94" s="6" t="s">
        <v>241</v>
      </c>
      <c r="C94" s="254">
        <f>O6</f>
        <v>3080</v>
      </c>
      <c r="D94" s="24"/>
    </row>
    <row r="95" spans="2:4" x14ac:dyDescent="0.3">
      <c r="B95" s="52" t="s">
        <v>81</v>
      </c>
      <c r="C95" s="254">
        <f>'Otros Costos'!B11</f>
        <v>2055</v>
      </c>
      <c r="D95" s="24"/>
    </row>
    <row r="96" spans="2:4" x14ac:dyDescent="0.3">
      <c r="B96" s="52" t="s">
        <v>246</v>
      </c>
      <c r="C96" s="254">
        <f>O5</f>
        <v>6768.5</v>
      </c>
      <c r="D96" s="24"/>
    </row>
    <row r="97" spans="2:4" x14ac:dyDescent="0.3">
      <c r="B97" s="161" t="s">
        <v>251</v>
      </c>
      <c r="C97" s="164">
        <f>SUM(C94:C96)</f>
        <v>11903.5</v>
      </c>
      <c r="D97" s="24"/>
    </row>
    <row r="98" spans="2:4" x14ac:dyDescent="0.3">
      <c r="B98" s="165" t="s">
        <v>188</v>
      </c>
      <c r="C98" s="166">
        <f>C88+C91+C97+C92</f>
        <v>90146</v>
      </c>
      <c r="D98" s="24"/>
    </row>
  </sheetData>
  <mergeCells count="6">
    <mergeCell ref="L3:N3"/>
    <mergeCell ref="B81:C81"/>
    <mergeCell ref="B89:C89"/>
    <mergeCell ref="L4:O4"/>
    <mergeCell ref="B4:E4"/>
    <mergeCell ref="G4:J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M41"/>
  <sheetViews>
    <sheetView showGridLines="0" topLeftCell="A8" zoomScale="110" zoomScaleNormal="110" workbookViewId="0">
      <selection activeCell="A22" sqref="A22:E36"/>
    </sheetView>
  </sheetViews>
  <sheetFormatPr baseColWidth="10" defaultColWidth="11.6640625" defaultRowHeight="13.2" x14ac:dyDescent="0.25"/>
  <cols>
    <col min="1" max="1" width="21" style="1" customWidth="1"/>
    <col min="2" max="2" width="17.33203125" style="1" customWidth="1"/>
    <col min="3" max="4" width="11.6640625" style="1"/>
    <col min="5" max="5" width="15" style="1" customWidth="1"/>
    <col min="6" max="16384" width="11.6640625" style="1"/>
  </cols>
  <sheetData>
    <row r="1" spans="1:5" ht="27.75" customHeight="1" x14ac:dyDescent="0.4">
      <c r="A1" s="105" t="s">
        <v>42</v>
      </c>
    </row>
    <row r="2" spans="1:5" ht="18" customHeight="1" x14ac:dyDescent="0.25"/>
    <row r="3" spans="1:5" ht="37.5" customHeight="1" x14ac:dyDescent="0.25">
      <c r="A3" s="31" t="s">
        <v>142</v>
      </c>
      <c r="B3" s="481" t="s">
        <v>233</v>
      </c>
      <c r="C3" s="482"/>
      <c r="D3" s="31" t="s">
        <v>26</v>
      </c>
      <c r="E3" s="31" t="s">
        <v>144</v>
      </c>
    </row>
    <row r="4" spans="1:5" ht="16.5" customHeight="1" x14ac:dyDescent="0.25">
      <c r="A4" s="30" t="s">
        <v>43</v>
      </c>
      <c r="B4" s="483">
        <f>B6-B5</f>
        <v>79146</v>
      </c>
      <c r="C4" s="484"/>
      <c r="D4" s="15">
        <f>+B4-C4</f>
        <v>79146</v>
      </c>
      <c r="E4" s="144">
        <f>D4/$D$6</f>
        <v>0.87797572826303993</v>
      </c>
    </row>
    <row r="5" spans="1:5" ht="16.5" customHeight="1" x14ac:dyDescent="0.25">
      <c r="A5" s="30" t="s">
        <v>143</v>
      </c>
      <c r="B5" s="483">
        <v>11000</v>
      </c>
      <c r="C5" s="484"/>
      <c r="D5" s="15">
        <f>+B5-C5</f>
        <v>11000</v>
      </c>
      <c r="E5" s="144">
        <f>D5/$D$6</f>
        <v>0.12202427173696004</v>
      </c>
    </row>
    <row r="6" spans="1:5" ht="16.5" customHeight="1" x14ac:dyDescent="0.25">
      <c r="A6" s="32" t="s">
        <v>26</v>
      </c>
      <c r="B6" s="485">
        <f>Inversión!C98</f>
        <v>90146</v>
      </c>
      <c r="C6" s="486"/>
      <c r="D6" s="15">
        <f t="shared" ref="D6:E6" si="0">+D4+D5</f>
        <v>90146</v>
      </c>
      <c r="E6" s="181">
        <f t="shared" si="0"/>
        <v>1</v>
      </c>
    </row>
    <row r="8" spans="1:5" x14ac:dyDescent="0.25">
      <c r="A8" s="9" t="s">
        <v>240</v>
      </c>
    </row>
    <row r="10" spans="1:5" ht="16.5" customHeight="1" x14ac:dyDescent="0.25">
      <c r="A10" s="478" t="s">
        <v>410</v>
      </c>
      <c r="B10" s="479"/>
    </row>
    <row r="12" spans="1:5" x14ac:dyDescent="0.25">
      <c r="A12" s="182" t="s">
        <v>234</v>
      </c>
      <c r="B12" s="175">
        <v>11000</v>
      </c>
    </row>
    <row r="13" spans="1:5" x14ac:dyDescent="0.25">
      <c r="A13" s="182" t="s">
        <v>145</v>
      </c>
      <c r="B13" s="176">
        <v>0.13</v>
      </c>
    </row>
    <row r="14" spans="1:5" x14ac:dyDescent="0.25">
      <c r="A14" s="182" t="s">
        <v>235</v>
      </c>
      <c r="B14" s="177">
        <v>12</v>
      </c>
    </row>
    <row r="15" spans="1:5" x14ac:dyDescent="0.25">
      <c r="A15" s="182" t="s">
        <v>236</v>
      </c>
      <c r="B15" s="178">
        <v>0.63800000000000001</v>
      </c>
    </row>
    <row r="16" spans="1:5" x14ac:dyDescent="0.25">
      <c r="A16" s="182" t="s">
        <v>146</v>
      </c>
      <c r="B16" s="177">
        <f>(((1+(B13))^(1/B14))-1)*100</f>
        <v>1.02368443581764</v>
      </c>
    </row>
    <row r="17" spans="1:5" x14ac:dyDescent="0.25">
      <c r="A17" s="182" t="s">
        <v>237</v>
      </c>
      <c r="B17" s="179">
        <f>(((1+(B15/100))^(1/B14))-1)*100</f>
        <v>5.3011829244464792E-2</v>
      </c>
    </row>
    <row r="18" spans="1:5" x14ac:dyDescent="0.25">
      <c r="A18" s="182" t="s">
        <v>238</v>
      </c>
      <c r="B18" s="180">
        <v>0.03</v>
      </c>
    </row>
    <row r="19" spans="1:5" x14ac:dyDescent="0.25">
      <c r="A19" s="182" t="s">
        <v>239</v>
      </c>
      <c r="B19" s="177">
        <f>B12*(((B18*((1+B18)^B14)))/(((1+B18)^B14)-1))</f>
        <v>1105.0829402025938</v>
      </c>
    </row>
    <row r="22" spans="1:5" ht="17.25" customHeight="1" x14ac:dyDescent="0.25">
      <c r="A22" s="480" t="s">
        <v>147</v>
      </c>
      <c r="B22" s="480"/>
      <c r="C22" s="480"/>
      <c r="D22" s="480"/>
      <c r="E22" s="480"/>
    </row>
    <row r="23" spans="1:5" x14ac:dyDescent="0.25">
      <c r="A23" s="130" t="s">
        <v>149</v>
      </c>
      <c r="B23" s="130" t="s">
        <v>151</v>
      </c>
      <c r="C23" s="130" t="s">
        <v>32</v>
      </c>
      <c r="D23" s="130" t="s">
        <v>148</v>
      </c>
      <c r="E23" s="130" t="s">
        <v>150</v>
      </c>
    </row>
    <row r="24" spans="1:5" x14ac:dyDescent="0.25">
      <c r="A24" s="131">
        <v>0</v>
      </c>
      <c r="B24" s="141"/>
      <c r="C24" s="132"/>
      <c r="D24" s="141"/>
      <c r="E24" s="133">
        <f>B12</f>
        <v>11000</v>
      </c>
    </row>
    <row r="25" spans="1:5" x14ac:dyDescent="0.25">
      <c r="A25" s="134">
        <v>1</v>
      </c>
      <c r="B25" s="142">
        <f>D25-C25</f>
        <v>775.08294020259382</v>
      </c>
      <c r="C25" s="135">
        <f>E24*$B$18</f>
        <v>330</v>
      </c>
      <c r="D25" s="142">
        <f>$B$19</f>
        <v>1105.0829402025938</v>
      </c>
      <c r="E25" s="136">
        <f>E24-B25</f>
        <v>10224.917059797406</v>
      </c>
    </row>
    <row r="26" spans="1:5" x14ac:dyDescent="0.25">
      <c r="A26" s="134">
        <v>2</v>
      </c>
      <c r="B26" s="142">
        <f t="shared" ref="B26:B36" si="1">D26-C26</f>
        <v>798.33542840867165</v>
      </c>
      <c r="C26" s="135">
        <f t="shared" ref="C26:C36" si="2">E25*$B$18</f>
        <v>306.74751179392217</v>
      </c>
      <c r="D26" s="142">
        <f t="shared" ref="D26:D36" si="3">$B$19</f>
        <v>1105.0829402025938</v>
      </c>
      <c r="E26" s="136">
        <f t="shared" ref="E26:E36" si="4">E25-B26</f>
        <v>9426.5816313887353</v>
      </c>
    </row>
    <row r="27" spans="1:5" x14ac:dyDescent="0.25">
      <c r="A27" s="137">
        <v>3</v>
      </c>
      <c r="B27" s="142">
        <f t="shared" si="1"/>
        <v>822.28549126093185</v>
      </c>
      <c r="C27" s="135">
        <f t="shared" si="2"/>
        <v>282.79744894166203</v>
      </c>
      <c r="D27" s="142">
        <f t="shared" si="3"/>
        <v>1105.0829402025938</v>
      </c>
      <c r="E27" s="136">
        <f t="shared" si="4"/>
        <v>8604.2961401278044</v>
      </c>
    </row>
    <row r="28" spans="1:5" x14ac:dyDescent="0.25">
      <c r="A28" s="134">
        <v>4</v>
      </c>
      <c r="B28" s="142">
        <f t="shared" si="1"/>
        <v>846.95405599875971</v>
      </c>
      <c r="C28" s="135">
        <f t="shared" si="2"/>
        <v>258.1288842038341</v>
      </c>
      <c r="D28" s="142">
        <f t="shared" si="3"/>
        <v>1105.0829402025938</v>
      </c>
      <c r="E28" s="136">
        <f t="shared" si="4"/>
        <v>7757.3420841290445</v>
      </c>
    </row>
    <row r="29" spans="1:5" x14ac:dyDescent="0.25">
      <c r="A29" s="134">
        <v>5</v>
      </c>
      <c r="B29" s="142">
        <f t="shared" si="1"/>
        <v>872.36267767872255</v>
      </c>
      <c r="C29" s="135">
        <f t="shared" si="2"/>
        <v>232.72026252387133</v>
      </c>
      <c r="D29" s="142">
        <f t="shared" si="3"/>
        <v>1105.0829402025938</v>
      </c>
      <c r="E29" s="136">
        <f t="shared" si="4"/>
        <v>6884.9794064503221</v>
      </c>
    </row>
    <row r="30" spans="1:5" x14ac:dyDescent="0.25">
      <c r="A30" s="137">
        <v>6</v>
      </c>
      <c r="B30" s="142">
        <f t="shared" si="1"/>
        <v>898.53355800908412</v>
      </c>
      <c r="C30" s="135">
        <f t="shared" si="2"/>
        <v>206.54938219350964</v>
      </c>
      <c r="D30" s="142">
        <f t="shared" si="3"/>
        <v>1105.0829402025938</v>
      </c>
      <c r="E30" s="136">
        <f t="shared" si="4"/>
        <v>5986.445848441238</v>
      </c>
    </row>
    <row r="31" spans="1:5" x14ac:dyDescent="0.25">
      <c r="A31" s="134">
        <v>7</v>
      </c>
      <c r="B31" s="142">
        <f t="shared" si="1"/>
        <v>925.48956474935665</v>
      </c>
      <c r="C31" s="135">
        <f t="shared" si="2"/>
        <v>179.59337545323714</v>
      </c>
      <c r="D31" s="142">
        <f t="shared" si="3"/>
        <v>1105.0829402025938</v>
      </c>
      <c r="E31" s="136">
        <f t="shared" si="4"/>
        <v>5060.9562836918813</v>
      </c>
    </row>
    <row r="32" spans="1:5" x14ac:dyDescent="0.25">
      <c r="A32" s="134">
        <v>8</v>
      </c>
      <c r="B32" s="142">
        <f t="shared" si="1"/>
        <v>953.25425169183745</v>
      </c>
      <c r="C32" s="135">
        <f t="shared" si="2"/>
        <v>151.82868851075642</v>
      </c>
      <c r="D32" s="142">
        <f t="shared" si="3"/>
        <v>1105.0829402025938</v>
      </c>
      <c r="E32" s="136">
        <f t="shared" si="4"/>
        <v>4107.7020320000438</v>
      </c>
    </row>
    <row r="33" spans="1:13" x14ac:dyDescent="0.25">
      <c r="A33" s="137">
        <v>9</v>
      </c>
      <c r="B33" s="142">
        <f t="shared" si="1"/>
        <v>981.85187924259253</v>
      </c>
      <c r="C33" s="135">
        <f t="shared" si="2"/>
        <v>123.23106096000132</v>
      </c>
      <c r="D33" s="142">
        <f t="shared" si="3"/>
        <v>1105.0829402025938</v>
      </c>
      <c r="E33" s="136">
        <f t="shared" si="4"/>
        <v>3125.8501527574513</v>
      </c>
    </row>
    <row r="34" spans="1:13" x14ac:dyDescent="0.25">
      <c r="A34" s="134">
        <v>10</v>
      </c>
      <c r="B34" s="142">
        <f t="shared" si="1"/>
        <v>1011.3074356198703</v>
      </c>
      <c r="C34" s="135">
        <f t="shared" si="2"/>
        <v>93.775504582723528</v>
      </c>
      <c r="D34" s="142">
        <f t="shared" si="3"/>
        <v>1105.0829402025938</v>
      </c>
      <c r="E34" s="136">
        <f t="shared" si="4"/>
        <v>2114.5427171375809</v>
      </c>
    </row>
    <row r="35" spans="1:13" x14ac:dyDescent="0.25">
      <c r="A35" s="134">
        <v>11</v>
      </c>
      <c r="B35" s="142">
        <f t="shared" si="1"/>
        <v>1041.6466586884665</v>
      </c>
      <c r="C35" s="135">
        <f t="shared" si="2"/>
        <v>63.436281514127423</v>
      </c>
      <c r="D35" s="142">
        <f t="shared" si="3"/>
        <v>1105.0829402025938</v>
      </c>
      <c r="E35" s="136">
        <f t="shared" si="4"/>
        <v>1072.8960584491144</v>
      </c>
    </row>
    <row r="36" spans="1:13" x14ac:dyDescent="0.25">
      <c r="A36" s="138">
        <v>12</v>
      </c>
      <c r="B36" s="143">
        <f t="shared" si="1"/>
        <v>1072.8960584491203</v>
      </c>
      <c r="C36" s="139">
        <f t="shared" si="2"/>
        <v>32.186881753473429</v>
      </c>
      <c r="D36" s="143">
        <f t="shared" si="3"/>
        <v>1105.0829402025938</v>
      </c>
      <c r="E36" s="140">
        <f t="shared" si="4"/>
        <v>-5.9117155615240335E-12</v>
      </c>
    </row>
    <row r="37" spans="1:13" x14ac:dyDescent="0.25">
      <c r="A37" s="377"/>
      <c r="B37" s="135"/>
      <c r="C37" s="135"/>
      <c r="D37" s="135">
        <f>SUM(D25:D36)</f>
        <v>13260.995282431126</v>
      </c>
      <c r="E37" s="135"/>
    </row>
    <row r="38" spans="1:13" x14ac:dyDescent="0.25">
      <c r="A38" s="33"/>
    </row>
    <row r="39" spans="1:13" x14ac:dyDescent="0.25">
      <c r="A39" s="296" t="s">
        <v>301</v>
      </c>
      <c r="B39" s="3">
        <v>330</v>
      </c>
      <c r="C39" s="230">
        <v>306.74751179392217</v>
      </c>
      <c r="D39" s="230">
        <v>282.79744894166203</v>
      </c>
      <c r="E39" s="230">
        <v>258.1288842038341</v>
      </c>
      <c r="F39" s="230">
        <v>232.72026252387133</v>
      </c>
      <c r="G39" s="230">
        <v>206.54938219350964</v>
      </c>
      <c r="H39" s="230">
        <v>179.59337545323714</v>
      </c>
      <c r="I39" s="230">
        <v>151.82868851075642</v>
      </c>
      <c r="J39" s="230">
        <v>123.23106096000132</v>
      </c>
      <c r="K39" s="230">
        <v>93.775504582723528</v>
      </c>
      <c r="L39" s="230">
        <v>63.436281514127423</v>
      </c>
      <c r="M39" s="230">
        <v>32.186881753473429</v>
      </c>
    </row>
    <row r="40" spans="1:13" x14ac:dyDescent="0.25">
      <c r="A40" s="296" t="s">
        <v>232</v>
      </c>
      <c r="B40" s="230">
        <v>775.08294020259382</v>
      </c>
      <c r="C40" s="230">
        <v>798.33542840867165</v>
      </c>
      <c r="D40" s="230">
        <v>822.28549126093185</v>
      </c>
      <c r="E40" s="230">
        <v>846.95405599875971</v>
      </c>
      <c r="F40" s="230">
        <v>872.36267767872255</v>
      </c>
      <c r="G40" s="230">
        <v>898.53355800908412</v>
      </c>
      <c r="H40" s="230">
        <v>925.48956474935665</v>
      </c>
      <c r="I40" s="230">
        <v>953.25425169183745</v>
      </c>
      <c r="J40" s="230">
        <v>981.85187924259253</v>
      </c>
      <c r="K40" s="230">
        <v>1011.3074356198703</v>
      </c>
      <c r="L40" s="230">
        <v>1041.6466586884665</v>
      </c>
      <c r="M40" s="230">
        <v>1072.8960584491203</v>
      </c>
    </row>
    <row r="41" spans="1:13" x14ac:dyDescent="0.25">
      <c r="B41" s="376"/>
    </row>
  </sheetData>
  <mergeCells count="6">
    <mergeCell ref="A10:B10"/>
    <mergeCell ref="A22:E22"/>
    <mergeCell ref="B3:C3"/>
    <mergeCell ref="B4:C4"/>
    <mergeCell ref="B5:C5"/>
    <mergeCell ref="B6:C6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Z111"/>
  <sheetViews>
    <sheetView showGridLines="0" topLeftCell="A44" workbookViewId="0">
      <selection activeCell="B67" sqref="B67"/>
    </sheetView>
  </sheetViews>
  <sheetFormatPr baseColWidth="10" defaultColWidth="11.44140625" defaultRowHeight="13.2" x14ac:dyDescent="0.25"/>
  <cols>
    <col min="1" max="1" width="24" style="1" customWidth="1"/>
    <col min="2" max="2" width="10" style="1" customWidth="1"/>
    <col min="3" max="6" width="10.44140625" style="1" customWidth="1"/>
    <col min="7" max="7" width="12.33203125" style="1" customWidth="1"/>
    <col min="8" max="9" width="10.44140625" style="1" customWidth="1"/>
    <col min="10" max="13" width="10.88671875" style="1" customWidth="1"/>
    <col min="14" max="14" width="11.109375" style="1" customWidth="1"/>
    <col min="15" max="15" width="13.109375" style="1" customWidth="1"/>
    <col min="16" max="25" width="9" style="1" customWidth="1"/>
    <col min="26" max="16384" width="11.44140625" style="1"/>
  </cols>
  <sheetData>
    <row r="1" spans="1:26" ht="21.75" customHeight="1" x14ac:dyDescent="0.4">
      <c r="A1" s="105" t="s">
        <v>259</v>
      </c>
    </row>
    <row r="2" spans="1:26" ht="16.5" customHeight="1" x14ac:dyDescent="0.25">
      <c r="A2" s="9"/>
    </row>
    <row r="3" spans="1:26" ht="15" customHeight="1" x14ac:dyDescent="0.25">
      <c r="B3" s="498" t="s">
        <v>172</v>
      </c>
      <c r="C3" s="499"/>
      <c r="D3" s="500"/>
      <c r="E3" s="501" t="s">
        <v>177</v>
      </c>
      <c r="F3" s="502"/>
      <c r="G3" s="502"/>
      <c r="H3" s="502"/>
      <c r="I3" s="503"/>
      <c r="J3" s="504" t="s">
        <v>173</v>
      </c>
      <c r="K3" s="505"/>
      <c r="L3" s="505"/>
      <c r="M3" s="506"/>
    </row>
    <row r="4" spans="1:26" ht="15" customHeight="1" x14ac:dyDescent="0.25">
      <c r="A4" s="37" t="s">
        <v>0</v>
      </c>
      <c r="B4" s="49" t="s">
        <v>1</v>
      </c>
      <c r="C4" s="49" t="s">
        <v>2</v>
      </c>
      <c r="D4" s="49" t="s">
        <v>3</v>
      </c>
      <c r="E4" s="49" t="s">
        <v>4</v>
      </c>
      <c r="F4" s="49" t="s">
        <v>5</v>
      </c>
      <c r="G4" s="49" t="s">
        <v>6</v>
      </c>
      <c r="H4" s="49" t="s">
        <v>7</v>
      </c>
      <c r="I4" s="49" t="s">
        <v>8</v>
      </c>
      <c r="J4" s="49" t="s">
        <v>9</v>
      </c>
      <c r="K4" s="49" t="s">
        <v>10</v>
      </c>
      <c r="L4" s="49" t="s">
        <v>11</v>
      </c>
      <c r="M4" s="49" t="s">
        <v>12</v>
      </c>
      <c r="N4" s="38" t="s">
        <v>13</v>
      </c>
    </row>
    <row r="5" spans="1:26" ht="15" customHeight="1" x14ac:dyDescent="0.25">
      <c r="A5" s="493" t="s">
        <v>158</v>
      </c>
      <c r="B5" s="494"/>
      <c r="C5" s="494"/>
      <c r="D5" s="494"/>
      <c r="E5" s="494"/>
      <c r="F5" s="494"/>
      <c r="G5" s="494"/>
      <c r="H5" s="494"/>
      <c r="I5" s="494"/>
      <c r="J5" s="494"/>
      <c r="K5" s="494"/>
      <c r="L5" s="494"/>
      <c r="M5" s="494"/>
      <c r="N5" s="495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 spans="1:26" ht="14.25" customHeight="1" x14ac:dyDescent="0.25">
      <c r="A6" s="52" t="s">
        <v>14</v>
      </c>
      <c r="B6" s="2">
        <f>B81*22</f>
        <v>660</v>
      </c>
      <c r="C6" s="2">
        <f>B81*20</f>
        <v>600</v>
      </c>
      <c r="D6" s="2">
        <f>B81*22</f>
        <v>660</v>
      </c>
      <c r="E6" s="2">
        <f>$B$80*22</f>
        <v>990</v>
      </c>
      <c r="F6" s="2">
        <f>$B$80*21</f>
        <v>945</v>
      </c>
      <c r="G6" s="2">
        <f>B80*22</f>
        <v>990</v>
      </c>
      <c r="H6" s="2">
        <f>B80*23</f>
        <v>1035</v>
      </c>
      <c r="I6" s="2">
        <f>B80*21</f>
        <v>945</v>
      </c>
      <c r="J6" s="2">
        <f>B79*22</f>
        <v>1320</v>
      </c>
      <c r="K6" s="2">
        <f>B79*22</f>
        <v>1320</v>
      </c>
      <c r="L6" s="2">
        <f>B79*21</f>
        <v>1260</v>
      </c>
      <c r="M6" s="2">
        <f>B79*23</f>
        <v>1380</v>
      </c>
      <c r="N6" s="2">
        <f>+SUM(B6:M6)</f>
        <v>12105</v>
      </c>
      <c r="O6" s="55">
        <f>AVERAGE(B6:M6)</f>
        <v>1008.75</v>
      </c>
      <c r="P6" s="55"/>
    </row>
    <row r="7" spans="1:26" ht="14.25" customHeight="1" x14ac:dyDescent="0.25">
      <c r="A7" s="52" t="s">
        <v>15</v>
      </c>
      <c r="B7" s="50">
        <f>8.5</f>
        <v>8.5</v>
      </c>
      <c r="C7" s="50">
        <f t="shared" ref="C7:M7" si="0">8.5</f>
        <v>8.5</v>
      </c>
      <c r="D7" s="50">
        <f t="shared" si="0"/>
        <v>8.5</v>
      </c>
      <c r="E7" s="50">
        <f t="shared" si="0"/>
        <v>8.5</v>
      </c>
      <c r="F7" s="50">
        <f t="shared" si="0"/>
        <v>8.5</v>
      </c>
      <c r="G7" s="50">
        <f t="shared" si="0"/>
        <v>8.5</v>
      </c>
      <c r="H7" s="50">
        <f t="shared" si="0"/>
        <v>8.5</v>
      </c>
      <c r="I7" s="50">
        <f t="shared" si="0"/>
        <v>8.5</v>
      </c>
      <c r="J7" s="50">
        <f t="shared" si="0"/>
        <v>8.5</v>
      </c>
      <c r="K7" s="50">
        <f t="shared" si="0"/>
        <v>8.5</v>
      </c>
      <c r="L7" s="50">
        <f t="shared" si="0"/>
        <v>8.5</v>
      </c>
      <c r="M7" s="50">
        <f t="shared" si="0"/>
        <v>8.5</v>
      </c>
      <c r="N7" s="50">
        <f>+AVERAGE(B7:M7)</f>
        <v>8.5</v>
      </c>
      <c r="P7" s="261"/>
    </row>
    <row r="8" spans="1:26" ht="14.25" customHeight="1" x14ac:dyDescent="0.25">
      <c r="A8" s="52" t="s">
        <v>17</v>
      </c>
      <c r="B8" s="4">
        <f>+B6*B7</f>
        <v>5610</v>
      </c>
      <c r="C8" s="4">
        <f t="shared" ref="C8:M8" si="1">+C6*C7</f>
        <v>5100</v>
      </c>
      <c r="D8" s="4">
        <f t="shared" si="1"/>
        <v>5610</v>
      </c>
      <c r="E8" s="4">
        <f t="shared" si="1"/>
        <v>8415</v>
      </c>
      <c r="F8" s="4">
        <f t="shared" si="1"/>
        <v>8032.5</v>
      </c>
      <c r="G8" s="4">
        <f t="shared" si="1"/>
        <v>8415</v>
      </c>
      <c r="H8" s="4">
        <f t="shared" si="1"/>
        <v>8797.5</v>
      </c>
      <c r="I8" s="4">
        <f t="shared" si="1"/>
        <v>8032.5</v>
      </c>
      <c r="J8" s="4">
        <f t="shared" si="1"/>
        <v>11220</v>
      </c>
      <c r="K8" s="4">
        <f t="shared" si="1"/>
        <v>11220</v>
      </c>
      <c r="L8" s="4">
        <f t="shared" si="1"/>
        <v>10710</v>
      </c>
      <c r="M8" s="4">
        <f t="shared" si="1"/>
        <v>11730</v>
      </c>
      <c r="N8" s="4">
        <f>+SUM(B8:M8)</f>
        <v>102892.5</v>
      </c>
      <c r="P8" s="261"/>
    </row>
    <row r="9" spans="1:26" ht="15" customHeight="1" x14ac:dyDescent="0.25">
      <c r="A9" s="493" t="s">
        <v>65</v>
      </c>
      <c r="B9" s="494"/>
      <c r="C9" s="494"/>
      <c r="D9" s="494"/>
      <c r="E9" s="494"/>
      <c r="F9" s="494"/>
      <c r="G9" s="494"/>
      <c r="H9" s="494"/>
      <c r="I9" s="494"/>
      <c r="J9" s="494"/>
      <c r="K9" s="494"/>
      <c r="L9" s="494"/>
      <c r="M9" s="494"/>
      <c r="N9" s="49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13.5" customHeight="1" x14ac:dyDescent="0.25">
      <c r="A10" s="52" t="s">
        <v>14</v>
      </c>
      <c r="B10" s="2">
        <f>C81*22</f>
        <v>440</v>
      </c>
      <c r="C10" s="2">
        <f>C81*20</f>
        <v>400</v>
      </c>
      <c r="D10" s="43">
        <f>C81*22</f>
        <v>440</v>
      </c>
      <c r="E10" s="2">
        <f>C80*22</f>
        <v>660</v>
      </c>
      <c r="F10" s="2">
        <f>C80*21</f>
        <v>630</v>
      </c>
      <c r="G10" s="2">
        <f>C80*22</f>
        <v>660</v>
      </c>
      <c r="H10" s="2">
        <f>C80*23</f>
        <v>690</v>
      </c>
      <c r="I10" s="2">
        <f>C80*21</f>
        <v>630</v>
      </c>
      <c r="J10" s="2">
        <f>C79*22</f>
        <v>880</v>
      </c>
      <c r="K10" s="2">
        <f>C79*22</f>
        <v>880</v>
      </c>
      <c r="L10" s="2">
        <f>C79*21</f>
        <v>840</v>
      </c>
      <c r="M10" s="2">
        <f>C79*23</f>
        <v>920</v>
      </c>
      <c r="N10" s="2">
        <f>+SUM(B10:M10)</f>
        <v>8070</v>
      </c>
      <c r="O10" s="55">
        <f>AVERAGE(B10:M10)</f>
        <v>672.5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13.5" customHeight="1" x14ac:dyDescent="0.25">
      <c r="A11" s="52" t="s">
        <v>15</v>
      </c>
      <c r="B11" s="50">
        <v>6.5</v>
      </c>
      <c r="C11" s="50">
        <v>6.5</v>
      </c>
      <c r="D11" s="50">
        <v>6.5</v>
      </c>
      <c r="E11" s="50">
        <v>6.5</v>
      </c>
      <c r="F11" s="50">
        <v>6.5</v>
      </c>
      <c r="G11" s="50">
        <v>6.5</v>
      </c>
      <c r="H11" s="50">
        <v>6.5</v>
      </c>
      <c r="I11" s="50">
        <v>6.5</v>
      </c>
      <c r="J11" s="50">
        <v>6.5</v>
      </c>
      <c r="K11" s="50">
        <v>6.5</v>
      </c>
      <c r="L11" s="50">
        <v>6.5</v>
      </c>
      <c r="M11" s="50">
        <v>6.5</v>
      </c>
      <c r="N11" s="50">
        <f>+AVERAGE(B11:M11)</f>
        <v>6.5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13.5" customHeight="1" x14ac:dyDescent="0.25">
      <c r="A12" s="52" t="s">
        <v>17</v>
      </c>
      <c r="B12" s="4">
        <f>+B10*B11</f>
        <v>2860</v>
      </c>
      <c r="C12" s="4">
        <f t="shared" ref="C12" si="2">+C10*C11</f>
        <v>2600</v>
      </c>
      <c r="D12" s="4">
        <f t="shared" ref="D12" si="3">+D10*D11</f>
        <v>2860</v>
      </c>
      <c r="E12" s="4">
        <f t="shared" ref="E12" si="4">+E10*E11</f>
        <v>4290</v>
      </c>
      <c r="F12" s="4">
        <f t="shared" ref="F12" si="5">+F10*F11</f>
        <v>4095</v>
      </c>
      <c r="G12" s="4">
        <f t="shared" ref="G12" si="6">+G10*G11</f>
        <v>4290</v>
      </c>
      <c r="H12" s="4">
        <f t="shared" ref="H12" si="7">+H10*H11</f>
        <v>4485</v>
      </c>
      <c r="I12" s="4">
        <f t="shared" ref="I12" si="8">+I10*I11</f>
        <v>4095</v>
      </c>
      <c r="J12" s="4">
        <f t="shared" ref="J12" si="9">+J10*J11</f>
        <v>5720</v>
      </c>
      <c r="K12" s="4">
        <f t="shared" ref="K12" si="10">+K10*K11</f>
        <v>5720</v>
      </c>
      <c r="L12" s="4">
        <f t="shared" ref="L12" si="11">+L10*L11</f>
        <v>5460</v>
      </c>
      <c r="M12" s="4">
        <f t="shared" ref="M12" si="12">+M10*M11</f>
        <v>5980</v>
      </c>
      <c r="N12" s="4">
        <f>+SUM(B12:M12)</f>
        <v>52455</v>
      </c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15" customHeight="1" x14ac:dyDescent="0.25">
      <c r="A13" s="493" t="s">
        <v>159</v>
      </c>
      <c r="B13" s="494"/>
      <c r="C13" s="494"/>
      <c r="D13" s="494"/>
      <c r="E13" s="494"/>
      <c r="F13" s="494"/>
      <c r="G13" s="494"/>
      <c r="H13" s="494"/>
      <c r="I13" s="494"/>
      <c r="J13" s="494"/>
      <c r="K13" s="494"/>
      <c r="L13" s="494"/>
      <c r="M13" s="494"/>
      <c r="N13" s="495"/>
      <c r="P13" s="261"/>
      <c r="Q13" s="261"/>
    </row>
    <row r="14" spans="1:26" ht="13.5" customHeight="1" x14ac:dyDescent="0.25">
      <c r="A14" s="52" t="s">
        <v>14</v>
      </c>
      <c r="B14" s="2">
        <f>D81*9</f>
        <v>225</v>
      </c>
      <c r="C14" s="2">
        <f>D81*8</f>
        <v>200</v>
      </c>
      <c r="D14" s="2">
        <f>D81*9</f>
        <v>225</v>
      </c>
      <c r="E14" s="2">
        <f>D80*8</f>
        <v>320</v>
      </c>
      <c r="F14" s="2">
        <f>D80*10</f>
        <v>400</v>
      </c>
      <c r="G14" s="2">
        <f>D80*8</f>
        <v>320</v>
      </c>
      <c r="H14" s="2">
        <f>D80*8</f>
        <v>320</v>
      </c>
      <c r="I14" s="2">
        <f>D80*10</f>
        <v>400</v>
      </c>
      <c r="J14" s="2">
        <f>D79*8</f>
        <v>480</v>
      </c>
      <c r="K14" s="2">
        <f>D79*9</f>
        <v>540</v>
      </c>
      <c r="L14" s="2">
        <f>D79*9</f>
        <v>540</v>
      </c>
      <c r="M14" s="2">
        <f>D79*8</f>
        <v>480</v>
      </c>
      <c r="N14" s="2">
        <f>+SUM(B14:M14)</f>
        <v>4450</v>
      </c>
      <c r="O14" s="55">
        <f>AVERAGE(B14:M14)</f>
        <v>370.83333333333331</v>
      </c>
    </row>
    <row r="15" spans="1:26" ht="13.5" customHeight="1" x14ac:dyDescent="0.25">
      <c r="A15" s="52" t="s">
        <v>15</v>
      </c>
      <c r="B15" s="50">
        <v>15</v>
      </c>
      <c r="C15" s="50">
        <v>15</v>
      </c>
      <c r="D15" s="50">
        <v>15</v>
      </c>
      <c r="E15" s="50">
        <v>15</v>
      </c>
      <c r="F15" s="50">
        <v>15</v>
      </c>
      <c r="G15" s="50">
        <v>15</v>
      </c>
      <c r="H15" s="50">
        <v>15</v>
      </c>
      <c r="I15" s="50">
        <v>15</v>
      </c>
      <c r="J15" s="50">
        <v>15</v>
      </c>
      <c r="K15" s="50">
        <v>15</v>
      </c>
      <c r="L15" s="50">
        <v>15</v>
      </c>
      <c r="M15" s="50">
        <v>15</v>
      </c>
      <c r="N15" s="2">
        <f>+AVERAGE(B15:M15)</f>
        <v>15</v>
      </c>
    </row>
    <row r="16" spans="1:26" ht="13.5" customHeight="1" x14ac:dyDescent="0.25">
      <c r="A16" s="52" t="s">
        <v>17</v>
      </c>
      <c r="B16" s="4">
        <f>+B14*B15</f>
        <v>3375</v>
      </c>
      <c r="C16" s="4">
        <f t="shared" ref="C16" si="13">+C14*C15</f>
        <v>3000</v>
      </c>
      <c r="D16" s="4">
        <f t="shared" ref="D16" si="14">+D14*D15</f>
        <v>3375</v>
      </c>
      <c r="E16" s="4">
        <f t="shared" ref="E16" si="15">+E14*E15</f>
        <v>4800</v>
      </c>
      <c r="F16" s="4">
        <f t="shared" ref="F16" si="16">+F14*F15</f>
        <v>6000</v>
      </c>
      <c r="G16" s="4">
        <f t="shared" ref="G16" si="17">+G14*G15</f>
        <v>4800</v>
      </c>
      <c r="H16" s="4">
        <f t="shared" ref="H16" si="18">+H14*H15</f>
        <v>4800</v>
      </c>
      <c r="I16" s="4">
        <f t="shared" ref="I16" si="19">+I14*I15</f>
        <v>6000</v>
      </c>
      <c r="J16" s="4">
        <f t="shared" ref="J16" si="20">+J14*J15</f>
        <v>7200</v>
      </c>
      <c r="K16" s="4">
        <f t="shared" ref="K16" si="21">+K14*K15</f>
        <v>8100</v>
      </c>
      <c r="L16" s="4">
        <f t="shared" ref="L16" si="22">+L14*L15</f>
        <v>8100</v>
      </c>
      <c r="M16" s="4">
        <f t="shared" ref="M16" si="23">+M14*M15</f>
        <v>7200</v>
      </c>
      <c r="N16" s="4">
        <f>+SUM(B16:M16)</f>
        <v>66750</v>
      </c>
    </row>
    <row r="17" spans="1:26" s="44" customFormat="1" ht="15" customHeight="1" x14ac:dyDescent="0.3">
      <c r="A17" s="53" t="s">
        <v>320</v>
      </c>
      <c r="B17" s="54">
        <f>B8+B12+B16</f>
        <v>11845</v>
      </c>
      <c r="C17" s="54">
        <f t="shared" ref="C17:N17" si="24">C8+C12+C16</f>
        <v>10700</v>
      </c>
      <c r="D17" s="54">
        <f t="shared" si="24"/>
        <v>11845</v>
      </c>
      <c r="E17" s="54">
        <f t="shared" si="24"/>
        <v>17505</v>
      </c>
      <c r="F17" s="54">
        <f t="shared" si="24"/>
        <v>18127.5</v>
      </c>
      <c r="G17" s="54">
        <f t="shared" si="24"/>
        <v>17505</v>
      </c>
      <c r="H17" s="54">
        <f t="shared" si="24"/>
        <v>18082.5</v>
      </c>
      <c r="I17" s="54">
        <f t="shared" si="24"/>
        <v>18127.5</v>
      </c>
      <c r="J17" s="54">
        <f t="shared" si="24"/>
        <v>24140</v>
      </c>
      <c r="K17" s="54">
        <f t="shared" si="24"/>
        <v>25040</v>
      </c>
      <c r="L17" s="54">
        <f t="shared" si="24"/>
        <v>24270</v>
      </c>
      <c r="M17" s="54">
        <f t="shared" si="24"/>
        <v>24910</v>
      </c>
      <c r="N17" s="54">
        <f t="shared" si="24"/>
        <v>222097.5</v>
      </c>
      <c r="O17" s="258"/>
    </row>
    <row r="18" spans="1:26" s="352" customFormat="1" ht="15" customHeight="1" x14ac:dyDescent="0.25">
      <c r="A18" s="368" t="s">
        <v>380</v>
      </c>
      <c r="B18" s="305">
        <f t="shared" ref="B18:M18" si="25">B6+B10+B14</f>
        <v>1325</v>
      </c>
      <c r="C18" s="305">
        <f t="shared" si="25"/>
        <v>1200</v>
      </c>
      <c r="D18" s="305">
        <f t="shared" si="25"/>
        <v>1325</v>
      </c>
      <c r="E18" s="305">
        <f t="shared" si="25"/>
        <v>1970</v>
      </c>
      <c r="F18" s="305">
        <f t="shared" si="25"/>
        <v>1975</v>
      </c>
      <c r="G18" s="305">
        <f t="shared" si="25"/>
        <v>1970</v>
      </c>
      <c r="H18" s="305">
        <f t="shared" si="25"/>
        <v>2045</v>
      </c>
      <c r="I18" s="305">
        <f t="shared" si="25"/>
        <v>1975</v>
      </c>
      <c r="J18" s="305">
        <f t="shared" si="25"/>
        <v>2680</v>
      </c>
      <c r="K18" s="305">
        <f t="shared" si="25"/>
        <v>2740</v>
      </c>
      <c r="L18" s="305">
        <f t="shared" si="25"/>
        <v>2640</v>
      </c>
      <c r="M18" s="305">
        <f t="shared" si="25"/>
        <v>2780</v>
      </c>
      <c r="N18" s="369">
        <f>SUM(B18:M18)</f>
        <v>24625</v>
      </c>
      <c r="O18" s="351"/>
    </row>
    <row r="19" spans="1:26" s="352" customFormat="1" ht="15" customHeight="1" x14ac:dyDescent="0.25">
      <c r="A19" s="353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354"/>
      <c r="O19" s="351"/>
    </row>
    <row r="20" spans="1:26" s="352" customFormat="1" ht="15" customHeight="1" x14ac:dyDescent="0.4">
      <c r="A20" s="105" t="s">
        <v>379</v>
      </c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354"/>
      <c r="O20" s="351"/>
    </row>
    <row r="21" spans="1:26" s="352" customFormat="1" ht="15" customHeight="1" x14ac:dyDescent="0.25">
      <c r="A21" s="353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354"/>
      <c r="O21" s="351"/>
    </row>
    <row r="22" spans="1:26" ht="15" customHeight="1" x14ac:dyDescent="0.25">
      <c r="A22" s="3"/>
      <c r="B22" s="490" t="s">
        <v>172</v>
      </c>
      <c r="C22" s="490"/>
      <c r="D22" s="490"/>
      <c r="E22" s="491" t="s">
        <v>177</v>
      </c>
      <c r="F22" s="491"/>
      <c r="G22" s="491"/>
      <c r="H22" s="491"/>
      <c r="I22" s="491"/>
      <c r="J22" s="492" t="s">
        <v>173</v>
      </c>
      <c r="K22" s="492"/>
      <c r="L22" s="492"/>
      <c r="M22" s="492"/>
      <c r="N22" s="490" t="s">
        <v>172</v>
      </c>
      <c r="O22" s="490"/>
      <c r="P22" s="490"/>
      <c r="Q22" s="491" t="s">
        <v>177</v>
      </c>
      <c r="R22" s="491"/>
      <c r="S22" s="491"/>
      <c r="T22" s="491"/>
      <c r="U22" s="491"/>
      <c r="V22" s="492" t="s">
        <v>173</v>
      </c>
      <c r="W22" s="492"/>
      <c r="X22" s="492"/>
      <c r="Y22" s="492"/>
      <c r="Z22" s="60"/>
    </row>
    <row r="23" spans="1:26" ht="15" customHeight="1" x14ac:dyDescent="0.25">
      <c r="A23" s="37" t="s">
        <v>0</v>
      </c>
      <c r="B23" s="37" t="s">
        <v>274</v>
      </c>
      <c r="C23" s="37" t="s">
        <v>275</v>
      </c>
      <c r="D23" s="37" t="s">
        <v>276</v>
      </c>
      <c r="E23" s="37" t="s">
        <v>277</v>
      </c>
      <c r="F23" s="37" t="s">
        <v>278</v>
      </c>
      <c r="G23" s="37" t="s">
        <v>279</v>
      </c>
      <c r="H23" s="37" t="s">
        <v>280</v>
      </c>
      <c r="I23" s="37" t="s">
        <v>281</v>
      </c>
      <c r="J23" s="37" t="s">
        <v>282</v>
      </c>
      <c r="K23" s="37" t="s">
        <v>283</v>
      </c>
      <c r="L23" s="37" t="s">
        <v>284</v>
      </c>
      <c r="M23" s="37" t="s">
        <v>285</v>
      </c>
      <c r="N23" s="38" t="s">
        <v>364</v>
      </c>
      <c r="O23" s="37" t="s">
        <v>365</v>
      </c>
      <c r="P23" s="38" t="s">
        <v>366</v>
      </c>
      <c r="Q23" s="37" t="s">
        <v>367</v>
      </c>
      <c r="R23" s="38" t="s">
        <v>368</v>
      </c>
      <c r="S23" s="37" t="s">
        <v>369</v>
      </c>
      <c r="T23" s="38" t="s">
        <v>370</v>
      </c>
      <c r="U23" s="37" t="s">
        <v>371</v>
      </c>
      <c r="V23" s="38" t="s">
        <v>372</v>
      </c>
      <c r="W23" s="37" t="s">
        <v>373</v>
      </c>
      <c r="X23" s="38" t="s">
        <v>374</v>
      </c>
      <c r="Y23" s="37" t="s">
        <v>375</v>
      </c>
      <c r="Z23" s="49" t="s">
        <v>13</v>
      </c>
    </row>
    <row r="24" spans="1:26" ht="15" customHeight="1" x14ac:dyDescent="0.25">
      <c r="A24" s="487" t="s">
        <v>158</v>
      </c>
      <c r="B24" s="487"/>
      <c r="C24" s="487"/>
      <c r="D24" s="487"/>
      <c r="E24" s="487"/>
      <c r="F24" s="487"/>
      <c r="G24" s="487"/>
      <c r="H24" s="487"/>
      <c r="I24" s="487"/>
      <c r="J24" s="487"/>
      <c r="K24" s="487"/>
      <c r="L24" s="487"/>
      <c r="M24" s="487"/>
      <c r="N24" s="493"/>
      <c r="O24" s="494"/>
      <c r="P24" s="494"/>
      <c r="Q24" s="494"/>
      <c r="R24" s="494"/>
      <c r="S24" s="494"/>
      <c r="T24" s="494"/>
      <c r="U24" s="494"/>
      <c r="V24" s="494"/>
      <c r="W24" s="494"/>
      <c r="X24" s="494"/>
      <c r="Y24" s="495"/>
      <c r="Z24" s="391"/>
    </row>
    <row r="25" spans="1:26" ht="14.25" customHeight="1" x14ac:dyDescent="0.25">
      <c r="A25" s="52" t="s">
        <v>14</v>
      </c>
      <c r="B25" s="2">
        <f t="shared" ref="B25:M25" si="26">B6*$T$49</f>
        <v>693</v>
      </c>
      <c r="C25" s="2">
        <f t="shared" si="26"/>
        <v>630</v>
      </c>
      <c r="D25" s="2">
        <f t="shared" si="26"/>
        <v>693</v>
      </c>
      <c r="E25" s="2">
        <f t="shared" si="26"/>
        <v>1039.5</v>
      </c>
      <c r="F25" s="2">
        <f t="shared" si="26"/>
        <v>992.25</v>
      </c>
      <c r="G25" s="2">
        <f t="shared" si="26"/>
        <v>1039.5</v>
      </c>
      <c r="H25" s="2">
        <f t="shared" si="26"/>
        <v>1086.75</v>
      </c>
      <c r="I25" s="2">
        <f t="shared" si="26"/>
        <v>992.25</v>
      </c>
      <c r="J25" s="2">
        <f t="shared" si="26"/>
        <v>1386</v>
      </c>
      <c r="K25" s="2">
        <f t="shared" si="26"/>
        <v>1386</v>
      </c>
      <c r="L25" s="2">
        <f t="shared" si="26"/>
        <v>1323</v>
      </c>
      <c r="M25" s="2">
        <f t="shared" si="26"/>
        <v>1449</v>
      </c>
      <c r="N25" s="2">
        <f t="shared" ref="N25:Y25" si="27">B25*$T$50</f>
        <v>762.30000000000007</v>
      </c>
      <c r="O25" s="2">
        <f t="shared" si="27"/>
        <v>693</v>
      </c>
      <c r="P25" s="2">
        <f t="shared" si="27"/>
        <v>762.30000000000007</v>
      </c>
      <c r="Q25" s="2">
        <f t="shared" si="27"/>
        <v>1143.45</v>
      </c>
      <c r="R25" s="2">
        <f t="shared" si="27"/>
        <v>1091.4750000000001</v>
      </c>
      <c r="S25" s="2">
        <f t="shared" si="27"/>
        <v>1143.45</v>
      </c>
      <c r="T25" s="2">
        <f t="shared" si="27"/>
        <v>1195.4250000000002</v>
      </c>
      <c r="U25" s="2">
        <f t="shared" si="27"/>
        <v>1091.4750000000001</v>
      </c>
      <c r="V25" s="2">
        <f t="shared" si="27"/>
        <v>1524.6000000000001</v>
      </c>
      <c r="W25" s="2">
        <f t="shared" si="27"/>
        <v>1524.6000000000001</v>
      </c>
      <c r="X25" s="2">
        <f t="shared" si="27"/>
        <v>1455.3000000000002</v>
      </c>
      <c r="Y25" s="2">
        <f t="shared" si="27"/>
        <v>1593.9</v>
      </c>
      <c r="Z25" s="3"/>
    </row>
    <row r="26" spans="1:26" ht="14.25" customHeight="1" x14ac:dyDescent="0.25">
      <c r="A26" s="52" t="s">
        <v>15</v>
      </c>
      <c r="B26" s="50">
        <v>8.5</v>
      </c>
      <c r="C26" s="50">
        <v>8.5</v>
      </c>
      <c r="D26" s="50">
        <v>8.5</v>
      </c>
      <c r="E26" s="50">
        <v>8.5</v>
      </c>
      <c r="F26" s="50">
        <v>8.5</v>
      </c>
      <c r="G26" s="50">
        <v>8.5</v>
      </c>
      <c r="H26" s="50">
        <v>8.5</v>
      </c>
      <c r="I26" s="50">
        <v>8.5</v>
      </c>
      <c r="J26" s="50">
        <v>8.5</v>
      </c>
      <c r="K26" s="50">
        <v>8.5</v>
      </c>
      <c r="L26" s="50">
        <v>8.5</v>
      </c>
      <c r="M26" s="50">
        <v>8.5</v>
      </c>
      <c r="N26" s="50">
        <v>8.5</v>
      </c>
      <c r="O26" s="50">
        <v>8.5</v>
      </c>
      <c r="P26" s="50">
        <v>8.5</v>
      </c>
      <c r="Q26" s="50">
        <v>8.5</v>
      </c>
      <c r="R26" s="50">
        <v>8.5</v>
      </c>
      <c r="S26" s="50">
        <v>8.5</v>
      </c>
      <c r="T26" s="50">
        <v>8.5</v>
      </c>
      <c r="U26" s="50">
        <v>8.5</v>
      </c>
      <c r="V26" s="50">
        <v>8.5</v>
      </c>
      <c r="W26" s="50">
        <v>8.5</v>
      </c>
      <c r="X26" s="50">
        <v>8.5</v>
      </c>
      <c r="Y26" s="50">
        <v>8.5</v>
      </c>
      <c r="Z26" s="3"/>
    </row>
    <row r="27" spans="1:26" ht="14.25" customHeight="1" x14ac:dyDescent="0.25">
      <c r="A27" s="52" t="s">
        <v>17</v>
      </c>
      <c r="B27" s="4">
        <f>+B25*B26</f>
        <v>5890.5</v>
      </c>
      <c r="C27" s="4">
        <f t="shared" ref="C27:Y27" si="28">+C25*C26</f>
        <v>5355</v>
      </c>
      <c r="D27" s="4">
        <f t="shared" si="28"/>
        <v>5890.5</v>
      </c>
      <c r="E27" s="4">
        <f t="shared" si="28"/>
        <v>8835.75</v>
      </c>
      <c r="F27" s="4">
        <f t="shared" si="28"/>
        <v>8434.125</v>
      </c>
      <c r="G27" s="4">
        <f t="shared" si="28"/>
        <v>8835.75</v>
      </c>
      <c r="H27" s="4">
        <f t="shared" si="28"/>
        <v>9237.375</v>
      </c>
      <c r="I27" s="4">
        <f t="shared" si="28"/>
        <v>8434.125</v>
      </c>
      <c r="J27" s="4">
        <f t="shared" si="28"/>
        <v>11781</v>
      </c>
      <c r="K27" s="4">
        <f t="shared" si="28"/>
        <v>11781</v>
      </c>
      <c r="L27" s="4">
        <f t="shared" si="28"/>
        <v>11245.5</v>
      </c>
      <c r="M27" s="4">
        <f t="shared" si="28"/>
        <v>12316.5</v>
      </c>
      <c r="N27" s="4">
        <f t="shared" si="28"/>
        <v>6479.55</v>
      </c>
      <c r="O27" s="4">
        <f t="shared" si="28"/>
        <v>5890.5</v>
      </c>
      <c r="P27" s="4">
        <f t="shared" si="28"/>
        <v>6479.55</v>
      </c>
      <c r="Q27" s="4">
        <f t="shared" si="28"/>
        <v>9719.3250000000007</v>
      </c>
      <c r="R27" s="4">
        <f t="shared" si="28"/>
        <v>9277.5375000000004</v>
      </c>
      <c r="S27" s="4">
        <f t="shared" si="28"/>
        <v>9719.3250000000007</v>
      </c>
      <c r="T27" s="4">
        <f t="shared" si="28"/>
        <v>10161.112500000001</v>
      </c>
      <c r="U27" s="4">
        <f t="shared" si="28"/>
        <v>9277.5375000000004</v>
      </c>
      <c r="V27" s="4">
        <f t="shared" si="28"/>
        <v>12959.1</v>
      </c>
      <c r="W27" s="4">
        <f t="shared" si="28"/>
        <v>12959.1</v>
      </c>
      <c r="X27" s="4">
        <f t="shared" si="28"/>
        <v>12370.050000000001</v>
      </c>
      <c r="Y27" s="4">
        <f t="shared" si="28"/>
        <v>13548.150000000001</v>
      </c>
      <c r="Z27" s="3"/>
    </row>
    <row r="28" spans="1:26" ht="15" customHeight="1" x14ac:dyDescent="0.25">
      <c r="A28" s="487" t="s">
        <v>65</v>
      </c>
      <c r="B28" s="487"/>
      <c r="C28" s="487"/>
      <c r="D28" s="487"/>
      <c r="E28" s="487"/>
      <c r="F28" s="487"/>
      <c r="G28" s="487"/>
      <c r="H28" s="487"/>
      <c r="I28" s="487"/>
      <c r="J28" s="487"/>
      <c r="K28" s="487"/>
      <c r="L28" s="487"/>
      <c r="M28" s="487"/>
      <c r="N28" s="487" t="s">
        <v>65</v>
      </c>
      <c r="O28" s="487" t="s">
        <v>65</v>
      </c>
      <c r="P28" s="487"/>
      <c r="Q28" s="487"/>
      <c r="R28" s="487"/>
      <c r="S28" s="487"/>
      <c r="T28" s="487"/>
      <c r="U28" s="487"/>
      <c r="V28" s="487"/>
      <c r="W28" s="487"/>
      <c r="X28" s="487"/>
      <c r="Y28" s="487"/>
      <c r="Z28" s="487"/>
    </row>
    <row r="29" spans="1:26" ht="13.5" customHeight="1" x14ac:dyDescent="0.25">
      <c r="A29" s="52" t="s">
        <v>14</v>
      </c>
      <c r="B29" s="2">
        <f t="shared" ref="B29:M29" si="29">B10*$T$49</f>
        <v>462</v>
      </c>
      <c r="C29" s="2">
        <f t="shared" si="29"/>
        <v>420</v>
      </c>
      <c r="D29" s="2">
        <f t="shared" si="29"/>
        <v>462</v>
      </c>
      <c r="E29" s="2">
        <f t="shared" si="29"/>
        <v>693</v>
      </c>
      <c r="F29" s="2">
        <f t="shared" si="29"/>
        <v>661.5</v>
      </c>
      <c r="G29" s="2">
        <f t="shared" si="29"/>
        <v>693</v>
      </c>
      <c r="H29" s="2">
        <f t="shared" si="29"/>
        <v>724.5</v>
      </c>
      <c r="I29" s="2">
        <f t="shared" si="29"/>
        <v>661.5</v>
      </c>
      <c r="J29" s="2">
        <f t="shared" si="29"/>
        <v>924</v>
      </c>
      <c r="K29" s="2">
        <f t="shared" si="29"/>
        <v>924</v>
      </c>
      <c r="L29" s="2">
        <f t="shared" si="29"/>
        <v>882</v>
      </c>
      <c r="M29" s="2">
        <f t="shared" si="29"/>
        <v>966</v>
      </c>
      <c r="N29" s="2">
        <f t="shared" ref="N29:Y29" si="30">B29*$T$50</f>
        <v>508.20000000000005</v>
      </c>
      <c r="O29" s="2">
        <f t="shared" si="30"/>
        <v>462.00000000000006</v>
      </c>
      <c r="P29" s="2">
        <f t="shared" si="30"/>
        <v>508.20000000000005</v>
      </c>
      <c r="Q29" s="2">
        <f t="shared" si="30"/>
        <v>762.30000000000007</v>
      </c>
      <c r="R29" s="2">
        <f t="shared" si="30"/>
        <v>727.65000000000009</v>
      </c>
      <c r="S29" s="2">
        <f t="shared" si="30"/>
        <v>762.30000000000007</v>
      </c>
      <c r="T29" s="2">
        <f t="shared" si="30"/>
        <v>796.95</v>
      </c>
      <c r="U29" s="2">
        <f t="shared" si="30"/>
        <v>727.65000000000009</v>
      </c>
      <c r="V29" s="2">
        <f t="shared" si="30"/>
        <v>1016.4000000000001</v>
      </c>
      <c r="W29" s="2">
        <f t="shared" si="30"/>
        <v>1016.4000000000001</v>
      </c>
      <c r="X29" s="2">
        <f t="shared" si="30"/>
        <v>970.2</v>
      </c>
      <c r="Y29" s="2">
        <f t="shared" si="30"/>
        <v>1062.6000000000001</v>
      </c>
      <c r="Z29" s="305"/>
    </row>
    <row r="30" spans="1:26" ht="13.5" customHeight="1" x14ac:dyDescent="0.25">
      <c r="A30" s="52" t="s">
        <v>15</v>
      </c>
      <c r="B30" s="50">
        <v>6.5</v>
      </c>
      <c r="C30" s="50">
        <v>6.5</v>
      </c>
      <c r="D30" s="50">
        <v>6.5</v>
      </c>
      <c r="E30" s="50">
        <v>6.5</v>
      </c>
      <c r="F30" s="50">
        <v>6.5</v>
      </c>
      <c r="G30" s="50">
        <v>6.5</v>
      </c>
      <c r="H30" s="50">
        <v>6.5</v>
      </c>
      <c r="I30" s="50">
        <v>6.5</v>
      </c>
      <c r="J30" s="50">
        <v>6.5</v>
      </c>
      <c r="K30" s="50">
        <v>6.5</v>
      </c>
      <c r="L30" s="50">
        <v>6.5</v>
      </c>
      <c r="M30" s="50">
        <v>6.5</v>
      </c>
      <c r="N30" s="50">
        <v>6.5</v>
      </c>
      <c r="O30" s="50">
        <v>6.5</v>
      </c>
      <c r="P30" s="50">
        <v>6.5</v>
      </c>
      <c r="Q30" s="50">
        <v>6.5</v>
      </c>
      <c r="R30" s="50">
        <v>6.5</v>
      </c>
      <c r="S30" s="50">
        <v>6.5</v>
      </c>
      <c r="T30" s="50">
        <v>6.5</v>
      </c>
      <c r="U30" s="50">
        <v>6.5</v>
      </c>
      <c r="V30" s="50">
        <v>6.5</v>
      </c>
      <c r="W30" s="50">
        <v>6.5</v>
      </c>
      <c r="X30" s="50">
        <v>6.5</v>
      </c>
      <c r="Y30" s="50">
        <v>6.5</v>
      </c>
      <c r="Z30" s="305"/>
    </row>
    <row r="31" spans="1:26" ht="13.5" customHeight="1" x14ac:dyDescent="0.25">
      <c r="A31" s="52" t="s">
        <v>17</v>
      </c>
      <c r="B31" s="4">
        <f>+B29*B30</f>
        <v>3003</v>
      </c>
      <c r="C31" s="4">
        <f t="shared" ref="C31:Y31" si="31">+C29*C30</f>
        <v>2730</v>
      </c>
      <c r="D31" s="4">
        <f t="shared" si="31"/>
        <v>3003</v>
      </c>
      <c r="E31" s="4">
        <f t="shared" si="31"/>
        <v>4504.5</v>
      </c>
      <c r="F31" s="4">
        <f t="shared" si="31"/>
        <v>4299.75</v>
      </c>
      <c r="G31" s="4">
        <f t="shared" si="31"/>
        <v>4504.5</v>
      </c>
      <c r="H31" s="4">
        <f t="shared" si="31"/>
        <v>4709.25</v>
      </c>
      <c r="I31" s="4">
        <f t="shared" si="31"/>
        <v>4299.75</v>
      </c>
      <c r="J31" s="4">
        <f t="shared" si="31"/>
        <v>6006</v>
      </c>
      <c r="K31" s="4">
        <f t="shared" si="31"/>
        <v>6006</v>
      </c>
      <c r="L31" s="4">
        <f t="shared" si="31"/>
        <v>5733</v>
      </c>
      <c r="M31" s="4">
        <f t="shared" si="31"/>
        <v>6279</v>
      </c>
      <c r="N31" s="4">
        <f t="shared" si="31"/>
        <v>3303.3</v>
      </c>
      <c r="O31" s="4">
        <f t="shared" si="31"/>
        <v>3003.0000000000005</v>
      </c>
      <c r="P31" s="4">
        <f t="shared" si="31"/>
        <v>3303.3</v>
      </c>
      <c r="Q31" s="4">
        <f t="shared" si="31"/>
        <v>4954.9500000000007</v>
      </c>
      <c r="R31" s="4">
        <f t="shared" si="31"/>
        <v>4729.7250000000004</v>
      </c>
      <c r="S31" s="4">
        <f t="shared" si="31"/>
        <v>4954.9500000000007</v>
      </c>
      <c r="T31" s="4">
        <f t="shared" si="31"/>
        <v>5180.1750000000002</v>
      </c>
      <c r="U31" s="4">
        <f t="shared" si="31"/>
        <v>4729.7250000000004</v>
      </c>
      <c r="V31" s="4">
        <f t="shared" si="31"/>
        <v>6606.6</v>
      </c>
      <c r="W31" s="4">
        <f t="shared" si="31"/>
        <v>6606.6</v>
      </c>
      <c r="X31" s="4">
        <f t="shared" si="31"/>
        <v>6306.3</v>
      </c>
      <c r="Y31" s="4">
        <f t="shared" si="31"/>
        <v>6906.9000000000005</v>
      </c>
      <c r="Z31" s="305"/>
    </row>
    <row r="32" spans="1:26" ht="15" customHeight="1" x14ac:dyDescent="0.25">
      <c r="A32" s="487" t="s">
        <v>159</v>
      </c>
      <c r="B32" s="487"/>
      <c r="C32" s="487"/>
      <c r="D32" s="487"/>
      <c r="E32" s="487"/>
      <c r="F32" s="487"/>
      <c r="G32" s="487"/>
      <c r="H32" s="487"/>
      <c r="I32" s="487"/>
      <c r="J32" s="487"/>
      <c r="K32" s="487"/>
      <c r="L32" s="487"/>
      <c r="M32" s="487"/>
      <c r="N32" s="487" t="s">
        <v>159</v>
      </c>
      <c r="O32" s="487" t="s">
        <v>159</v>
      </c>
      <c r="P32" s="487"/>
      <c r="Q32" s="487"/>
      <c r="R32" s="487"/>
      <c r="S32" s="487"/>
      <c r="T32" s="487"/>
      <c r="U32" s="487"/>
      <c r="V32" s="487"/>
      <c r="W32" s="487"/>
      <c r="X32" s="487"/>
      <c r="Y32" s="487"/>
      <c r="Z32" s="487"/>
    </row>
    <row r="33" spans="1:26" ht="13.5" customHeight="1" x14ac:dyDescent="0.25">
      <c r="A33" s="52" t="s">
        <v>14</v>
      </c>
      <c r="B33" s="2">
        <f t="shared" ref="B33:M33" si="32">B14*$T$49</f>
        <v>236.25</v>
      </c>
      <c r="C33" s="2">
        <f t="shared" si="32"/>
        <v>210</v>
      </c>
      <c r="D33" s="2">
        <f t="shared" si="32"/>
        <v>236.25</v>
      </c>
      <c r="E33" s="2">
        <f t="shared" si="32"/>
        <v>336</v>
      </c>
      <c r="F33" s="2">
        <f t="shared" si="32"/>
        <v>420</v>
      </c>
      <c r="G33" s="2">
        <f t="shared" si="32"/>
        <v>336</v>
      </c>
      <c r="H33" s="2">
        <f t="shared" si="32"/>
        <v>336</v>
      </c>
      <c r="I33" s="2">
        <f t="shared" si="32"/>
        <v>420</v>
      </c>
      <c r="J33" s="2">
        <f t="shared" si="32"/>
        <v>504</v>
      </c>
      <c r="K33" s="2">
        <f t="shared" si="32"/>
        <v>567</v>
      </c>
      <c r="L33" s="2">
        <f t="shared" si="32"/>
        <v>567</v>
      </c>
      <c r="M33" s="2">
        <f t="shared" si="32"/>
        <v>504</v>
      </c>
      <c r="N33" s="2">
        <f t="shared" ref="N33:Y33" si="33">B33*$T$50</f>
        <v>259.875</v>
      </c>
      <c r="O33" s="2">
        <f t="shared" si="33"/>
        <v>231.00000000000003</v>
      </c>
      <c r="P33" s="2">
        <f t="shared" si="33"/>
        <v>259.875</v>
      </c>
      <c r="Q33" s="2">
        <f t="shared" si="33"/>
        <v>369.6</v>
      </c>
      <c r="R33" s="2">
        <f t="shared" si="33"/>
        <v>462.00000000000006</v>
      </c>
      <c r="S33" s="2">
        <f t="shared" si="33"/>
        <v>369.6</v>
      </c>
      <c r="T33" s="2">
        <f t="shared" si="33"/>
        <v>369.6</v>
      </c>
      <c r="U33" s="2">
        <f t="shared" si="33"/>
        <v>462.00000000000006</v>
      </c>
      <c r="V33" s="2">
        <f t="shared" si="33"/>
        <v>554.40000000000009</v>
      </c>
      <c r="W33" s="2">
        <f t="shared" si="33"/>
        <v>623.70000000000005</v>
      </c>
      <c r="X33" s="2">
        <f t="shared" si="33"/>
        <v>623.70000000000005</v>
      </c>
      <c r="Y33" s="2">
        <f t="shared" si="33"/>
        <v>554.40000000000009</v>
      </c>
      <c r="Z33" s="3"/>
    </row>
    <row r="34" spans="1:26" ht="13.5" customHeight="1" x14ac:dyDescent="0.25">
      <c r="A34" s="52" t="s">
        <v>15</v>
      </c>
      <c r="B34" s="50">
        <v>15</v>
      </c>
      <c r="C34" s="50">
        <v>15</v>
      </c>
      <c r="D34" s="50">
        <v>15</v>
      </c>
      <c r="E34" s="50">
        <v>15</v>
      </c>
      <c r="F34" s="50">
        <v>15</v>
      </c>
      <c r="G34" s="50">
        <v>15</v>
      </c>
      <c r="H34" s="50">
        <v>15</v>
      </c>
      <c r="I34" s="50">
        <v>15</v>
      </c>
      <c r="J34" s="50">
        <v>15</v>
      </c>
      <c r="K34" s="50">
        <v>15</v>
      </c>
      <c r="L34" s="50">
        <v>15</v>
      </c>
      <c r="M34" s="50">
        <v>15</v>
      </c>
      <c r="N34" s="50">
        <v>15</v>
      </c>
      <c r="O34" s="50">
        <v>15</v>
      </c>
      <c r="P34" s="50">
        <v>15</v>
      </c>
      <c r="Q34" s="50">
        <v>15</v>
      </c>
      <c r="R34" s="50">
        <v>15</v>
      </c>
      <c r="S34" s="50">
        <v>15</v>
      </c>
      <c r="T34" s="50">
        <v>15</v>
      </c>
      <c r="U34" s="50">
        <v>15</v>
      </c>
      <c r="V34" s="50">
        <v>15</v>
      </c>
      <c r="W34" s="50">
        <v>15</v>
      </c>
      <c r="X34" s="50">
        <v>15</v>
      </c>
      <c r="Y34" s="50">
        <v>15</v>
      </c>
      <c r="Z34" s="3"/>
    </row>
    <row r="35" spans="1:26" ht="13.5" customHeight="1" x14ac:dyDescent="0.25">
      <c r="A35" s="52" t="s">
        <v>17</v>
      </c>
      <c r="B35" s="4">
        <f>+B33*B34</f>
        <v>3543.75</v>
      </c>
      <c r="C35" s="4">
        <f t="shared" ref="C35:Y35" si="34">+C33*C34</f>
        <v>3150</v>
      </c>
      <c r="D35" s="4">
        <f t="shared" si="34"/>
        <v>3543.75</v>
      </c>
      <c r="E35" s="4">
        <f t="shared" si="34"/>
        <v>5040</v>
      </c>
      <c r="F35" s="4">
        <f t="shared" si="34"/>
        <v>6300</v>
      </c>
      <c r="G35" s="4">
        <f t="shared" si="34"/>
        <v>5040</v>
      </c>
      <c r="H35" s="4">
        <f t="shared" si="34"/>
        <v>5040</v>
      </c>
      <c r="I35" s="4">
        <f t="shared" si="34"/>
        <v>6300</v>
      </c>
      <c r="J35" s="4">
        <f t="shared" si="34"/>
        <v>7560</v>
      </c>
      <c r="K35" s="4">
        <f t="shared" si="34"/>
        <v>8505</v>
      </c>
      <c r="L35" s="4">
        <f t="shared" si="34"/>
        <v>8505</v>
      </c>
      <c r="M35" s="4">
        <f t="shared" si="34"/>
        <v>7560</v>
      </c>
      <c r="N35" s="4">
        <f t="shared" si="34"/>
        <v>3898.125</v>
      </c>
      <c r="O35" s="4">
        <f t="shared" si="34"/>
        <v>3465.0000000000005</v>
      </c>
      <c r="P35" s="4">
        <f t="shared" si="34"/>
        <v>3898.125</v>
      </c>
      <c r="Q35" s="4">
        <f t="shared" si="34"/>
        <v>5544</v>
      </c>
      <c r="R35" s="4">
        <f t="shared" si="34"/>
        <v>6930.0000000000009</v>
      </c>
      <c r="S35" s="4">
        <f t="shared" si="34"/>
        <v>5544</v>
      </c>
      <c r="T35" s="4">
        <f t="shared" si="34"/>
        <v>5544</v>
      </c>
      <c r="U35" s="4">
        <f t="shared" si="34"/>
        <v>6930.0000000000009</v>
      </c>
      <c r="V35" s="4">
        <f t="shared" si="34"/>
        <v>8316.0000000000018</v>
      </c>
      <c r="W35" s="4">
        <f t="shared" si="34"/>
        <v>9355.5</v>
      </c>
      <c r="X35" s="4">
        <f t="shared" si="34"/>
        <v>9355.5</v>
      </c>
      <c r="Y35" s="4">
        <f t="shared" si="34"/>
        <v>8316.0000000000018</v>
      </c>
      <c r="Z35" s="3"/>
    </row>
    <row r="36" spans="1:26" s="44" customFormat="1" ht="15" customHeight="1" x14ac:dyDescent="0.3">
      <c r="A36" s="53" t="s">
        <v>320</v>
      </c>
      <c r="B36" s="54">
        <f>B27+B31+B35</f>
        <v>12437.25</v>
      </c>
      <c r="C36" s="54">
        <f t="shared" ref="C36:M36" si="35">C27+C31+C35</f>
        <v>11235</v>
      </c>
      <c r="D36" s="54">
        <f t="shared" si="35"/>
        <v>12437.25</v>
      </c>
      <c r="E36" s="54">
        <f t="shared" si="35"/>
        <v>18380.25</v>
      </c>
      <c r="F36" s="54">
        <f t="shared" si="35"/>
        <v>19033.875</v>
      </c>
      <c r="G36" s="54">
        <f t="shared" si="35"/>
        <v>18380.25</v>
      </c>
      <c r="H36" s="54">
        <f t="shared" si="35"/>
        <v>18986.625</v>
      </c>
      <c r="I36" s="54">
        <f t="shared" si="35"/>
        <v>19033.875</v>
      </c>
      <c r="J36" s="54">
        <f t="shared" si="35"/>
        <v>25347</v>
      </c>
      <c r="K36" s="54">
        <f t="shared" si="35"/>
        <v>26292</v>
      </c>
      <c r="L36" s="54">
        <f t="shared" si="35"/>
        <v>25483.5</v>
      </c>
      <c r="M36" s="54">
        <f t="shared" si="35"/>
        <v>26155.5</v>
      </c>
      <c r="N36" s="54">
        <f>N27+N31+N35</f>
        <v>13680.975</v>
      </c>
      <c r="O36" s="54">
        <f t="shared" ref="O36:Z36" si="36">O27+O31+O35</f>
        <v>12358.5</v>
      </c>
      <c r="P36" s="54">
        <f t="shared" si="36"/>
        <v>13680.975</v>
      </c>
      <c r="Q36" s="54">
        <f t="shared" si="36"/>
        <v>20218.275000000001</v>
      </c>
      <c r="R36" s="54">
        <f t="shared" si="36"/>
        <v>20937.262500000001</v>
      </c>
      <c r="S36" s="54">
        <f t="shared" si="36"/>
        <v>20218.275000000001</v>
      </c>
      <c r="T36" s="54">
        <f t="shared" si="36"/>
        <v>20885.287500000002</v>
      </c>
      <c r="U36" s="54">
        <f t="shared" si="36"/>
        <v>20937.262500000001</v>
      </c>
      <c r="V36" s="54">
        <f t="shared" si="36"/>
        <v>27881.700000000004</v>
      </c>
      <c r="W36" s="54">
        <f t="shared" si="36"/>
        <v>28921.200000000001</v>
      </c>
      <c r="X36" s="54">
        <f t="shared" si="36"/>
        <v>28031.850000000002</v>
      </c>
      <c r="Y36" s="54">
        <f t="shared" si="36"/>
        <v>28771.050000000003</v>
      </c>
      <c r="Z36" s="54">
        <f t="shared" si="36"/>
        <v>0</v>
      </c>
    </row>
    <row r="37" spans="1:26" s="352" customFormat="1" ht="15" customHeight="1" x14ac:dyDescent="0.25">
      <c r="A37" s="353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354"/>
      <c r="O37" s="351"/>
    </row>
    <row r="38" spans="1:26" ht="25.5" customHeight="1" x14ac:dyDescent="0.25">
      <c r="A38" s="316" t="s">
        <v>415</v>
      </c>
      <c r="N38" s="55"/>
      <c r="O38" s="60"/>
    </row>
    <row r="39" spans="1:26" ht="21" customHeight="1" x14ac:dyDescent="0.25">
      <c r="A39" s="298" t="s">
        <v>0</v>
      </c>
      <c r="B39" s="288" t="s">
        <v>1</v>
      </c>
      <c r="C39" s="288" t="s">
        <v>2</v>
      </c>
      <c r="D39" s="288" t="s">
        <v>3</v>
      </c>
      <c r="E39" s="288" t="s">
        <v>4</v>
      </c>
      <c r="F39" s="288" t="s">
        <v>5</v>
      </c>
      <c r="G39" s="288" t="s">
        <v>6</v>
      </c>
      <c r="H39" s="288" t="s">
        <v>7</v>
      </c>
      <c r="I39" s="288" t="s">
        <v>8</v>
      </c>
      <c r="J39" s="288" t="s">
        <v>9</v>
      </c>
      <c r="K39" s="288" t="s">
        <v>10</v>
      </c>
      <c r="L39" s="288" t="s">
        <v>11</v>
      </c>
      <c r="M39" s="288" t="s">
        <v>12</v>
      </c>
      <c r="N39" s="57" t="s">
        <v>26</v>
      </c>
      <c r="O39" s="355" t="s">
        <v>361</v>
      </c>
    </row>
    <row r="40" spans="1:26" ht="21" customHeight="1" x14ac:dyDescent="0.25">
      <c r="A40" s="312" t="s">
        <v>253</v>
      </c>
      <c r="B40" s="305">
        <f t="shared" ref="B40:M40" si="37">B17</f>
        <v>11845</v>
      </c>
      <c r="C40" s="305">
        <f t="shared" si="37"/>
        <v>10700</v>
      </c>
      <c r="D40" s="305">
        <f t="shared" si="37"/>
        <v>11845</v>
      </c>
      <c r="E40" s="305">
        <f t="shared" si="37"/>
        <v>17505</v>
      </c>
      <c r="F40" s="305">
        <f t="shared" si="37"/>
        <v>18127.5</v>
      </c>
      <c r="G40" s="305">
        <f t="shared" si="37"/>
        <v>17505</v>
      </c>
      <c r="H40" s="305">
        <f t="shared" si="37"/>
        <v>18082.5</v>
      </c>
      <c r="I40" s="305">
        <f t="shared" si="37"/>
        <v>18127.5</v>
      </c>
      <c r="J40" s="305">
        <f t="shared" si="37"/>
        <v>24140</v>
      </c>
      <c r="K40" s="305">
        <f t="shared" si="37"/>
        <v>25040</v>
      </c>
      <c r="L40" s="305">
        <f t="shared" si="37"/>
        <v>24270</v>
      </c>
      <c r="M40" s="305">
        <f t="shared" si="37"/>
        <v>24910</v>
      </c>
      <c r="N40" s="374">
        <f>SUM(B40:M40)</f>
        <v>222097.5</v>
      </c>
      <c r="O40" s="356"/>
      <c r="P40" s="261"/>
    </row>
    <row r="41" spans="1:26" ht="21" customHeight="1" x14ac:dyDescent="0.25">
      <c r="A41" s="312" t="s">
        <v>254</v>
      </c>
      <c r="B41" s="305">
        <f>B40*1.05</f>
        <v>12437.25</v>
      </c>
      <c r="C41" s="305">
        <f t="shared" ref="C41:M41" si="38">C40*1.05</f>
        <v>11235</v>
      </c>
      <c r="D41" s="305">
        <f t="shared" si="38"/>
        <v>12437.25</v>
      </c>
      <c r="E41" s="305">
        <f t="shared" si="38"/>
        <v>18380.25</v>
      </c>
      <c r="F41" s="305">
        <f t="shared" si="38"/>
        <v>19033.875</v>
      </c>
      <c r="G41" s="305">
        <f t="shared" si="38"/>
        <v>18380.25</v>
      </c>
      <c r="H41" s="305">
        <f t="shared" si="38"/>
        <v>18986.625</v>
      </c>
      <c r="I41" s="305">
        <f t="shared" si="38"/>
        <v>19033.875</v>
      </c>
      <c r="J41" s="305">
        <f t="shared" si="38"/>
        <v>25347</v>
      </c>
      <c r="K41" s="305">
        <f t="shared" si="38"/>
        <v>26292</v>
      </c>
      <c r="L41" s="305">
        <f t="shared" si="38"/>
        <v>25483.5</v>
      </c>
      <c r="M41" s="305">
        <f t="shared" si="38"/>
        <v>26155.5</v>
      </c>
      <c r="N41" s="374">
        <f>SUM(B41:M41)</f>
        <v>233202.375</v>
      </c>
      <c r="O41" s="357">
        <v>0.05</v>
      </c>
    </row>
    <row r="42" spans="1:26" ht="21" customHeight="1" x14ac:dyDescent="0.25">
      <c r="A42" s="312" t="s">
        <v>255</v>
      </c>
      <c r="B42" s="305">
        <f>B41*1.1</f>
        <v>13680.975</v>
      </c>
      <c r="C42" s="305">
        <f t="shared" ref="C42" si="39">C41*1.1</f>
        <v>12358.500000000002</v>
      </c>
      <c r="D42" s="305">
        <f t="shared" ref="D42" si="40">D41*1.1</f>
        <v>13680.975</v>
      </c>
      <c r="E42" s="305">
        <f t="shared" ref="E42" si="41">E41*1.1</f>
        <v>20218.275000000001</v>
      </c>
      <c r="F42" s="305">
        <f t="shared" ref="F42" si="42">F41*1.1</f>
        <v>20937.262500000001</v>
      </c>
      <c r="G42" s="305">
        <f t="shared" ref="G42" si="43">G41*1.1</f>
        <v>20218.275000000001</v>
      </c>
      <c r="H42" s="305">
        <f t="shared" ref="H42" si="44">H41*1.1</f>
        <v>20885.287500000002</v>
      </c>
      <c r="I42" s="305">
        <f t="shared" ref="I42" si="45">I41*1.1</f>
        <v>20937.262500000001</v>
      </c>
      <c r="J42" s="305">
        <f t="shared" ref="J42" si="46">J41*1.1</f>
        <v>27881.7</v>
      </c>
      <c r="K42" s="305">
        <f t="shared" ref="K42" si="47">K41*1.1</f>
        <v>28921.200000000001</v>
      </c>
      <c r="L42" s="305">
        <f t="shared" ref="L42" si="48">L41*1.1</f>
        <v>28031.850000000002</v>
      </c>
      <c r="M42" s="305">
        <f t="shared" ref="M42" si="49">M41*1.1</f>
        <v>28771.050000000003</v>
      </c>
      <c r="N42" s="374">
        <f>SUM(B42:M42)</f>
        <v>256522.61250000005</v>
      </c>
      <c r="O42" s="357">
        <v>0.1</v>
      </c>
    </row>
    <row r="43" spans="1:26" ht="21" customHeight="1" x14ac:dyDescent="0.25">
      <c r="A43" s="312" t="s">
        <v>256</v>
      </c>
      <c r="B43" s="305">
        <f>B42*1.15</f>
        <v>15733.121249999998</v>
      </c>
      <c r="C43" s="305">
        <f t="shared" ref="C43:M43" si="50">C42*1.15</f>
        <v>14212.275000000001</v>
      </c>
      <c r="D43" s="305">
        <f t="shared" si="50"/>
        <v>15733.121249999998</v>
      </c>
      <c r="E43" s="305">
        <f t="shared" si="50"/>
        <v>23251.016250000001</v>
      </c>
      <c r="F43" s="305">
        <f t="shared" si="50"/>
        <v>24077.851875</v>
      </c>
      <c r="G43" s="305">
        <f t="shared" si="50"/>
        <v>23251.016250000001</v>
      </c>
      <c r="H43" s="305">
        <f t="shared" si="50"/>
        <v>24018.080625000002</v>
      </c>
      <c r="I43" s="305">
        <f t="shared" si="50"/>
        <v>24077.851875</v>
      </c>
      <c r="J43" s="305">
        <f t="shared" si="50"/>
        <v>32063.954999999998</v>
      </c>
      <c r="K43" s="305">
        <f t="shared" si="50"/>
        <v>33259.379999999997</v>
      </c>
      <c r="L43" s="305">
        <f t="shared" si="50"/>
        <v>32236.627499999999</v>
      </c>
      <c r="M43" s="305">
        <f t="shared" si="50"/>
        <v>33086.707500000004</v>
      </c>
      <c r="N43" s="374">
        <f>SUM(B43:M43)</f>
        <v>295001.00437499996</v>
      </c>
      <c r="O43" s="357">
        <v>0.15</v>
      </c>
    </row>
    <row r="44" spans="1:26" ht="21" customHeight="1" x14ac:dyDescent="0.25">
      <c r="A44" s="312" t="s">
        <v>257</v>
      </c>
      <c r="B44" s="305">
        <f>B43*1.2</f>
        <v>18879.745499999997</v>
      </c>
      <c r="C44" s="305">
        <f t="shared" ref="C44:M44" si="51">C43*1.2</f>
        <v>17054.73</v>
      </c>
      <c r="D44" s="305">
        <f t="shared" si="51"/>
        <v>18879.745499999997</v>
      </c>
      <c r="E44" s="305">
        <f t="shared" si="51"/>
        <v>27901.219499999999</v>
      </c>
      <c r="F44" s="305">
        <f t="shared" si="51"/>
        <v>28893.42225</v>
      </c>
      <c r="G44" s="305">
        <f t="shared" si="51"/>
        <v>27901.219499999999</v>
      </c>
      <c r="H44" s="305">
        <f t="shared" si="51"/>
        <v>28821.696750000003</v>
      </c>
      <c r="I44" s="305">
        <f t="shared" si="51"/>
        <v>28893.42225</v>
      </c>
      <c r="J44" s="305">
        <f t="shared" si="51"/>
        <v>38476.745999999999</v>
      </c>
      <c r="K44" s="305">
        <f t="shared" si="51"/>
        <v>39911.255999999994</v>
      </c>
      <c r="L44" s="305">
        <f t="shared" si="51"/>
        <v>38683.952999999994</v>
      </c>
      <c r="M44" s="305">
        <f t="shared" si="51"/>
        <v>39704.049000000006</v>
      </c>
      <c r="N44" s="374">
        <f>SUM(B44:M44)</f>
        <v>354001.20525</v>
      </c>
      <c r="O44" s="357">
        <v>0.2</v>
      </c>
    </row>
    <row r="45" spans="1:26" ht="21" customHeight="1" x14ac:dyDescent="0.25">
      <c r="A45" s="317"/>
      <c r="B45" s="318"/>
      <c r="C45" s="318"/>
      <c r="D45" s="318"/>
      <c r="E45" s="318"/>
      <c r="F45" s="318"/>
      <c r="G45" s="318"/>
      <c r="H45" s="318"/>
      <c r="I45" s="318"/>
      <c r="J45" s="318"/>
      <c r="K45" s="318"/>
      <c r="L45" s="318"/>
      <c r="M45" s="318"/>
      <c r="N45" s="318"/>
      <c r="O45" s="60"/>
    </row>
    <row r="46" spans="1:26" ht="17.399999999999999" x14ac:dyDescent="0.25">
      <c r="A46" s="316" t="s">
        <v>424</v>
      </c>
      <c r="N46" s="55"/>
    </row>
    <row r="47" spans="1:26" x14ac:dyDescent="0.25">
      <c r="H47" s="51"/>
      <c r="I47" s="51"/>
      <c r="J47" s="51"/>
      <c r="K47" s="51"/>
      <c r="L47" s="51"/>
      <c r="M47" s="51"/>
      <c r="N47" s="183"/>
    </row>
    <row r="48" spans="1:26" ht="24" customHeight="1" x14ac:dyDescent="0.25">
      <c r="A48" s="37" t="s">
        <v>0</v>
      </c>
      <c r="B48" s="37" t="s">
        <v>253</v>
      </c>
      <c r="C48" s="37" t="s">
        <v>254</v>
      </c>
      <c r="D48" s="37" t="s">
        <v>255</v>
      </c>
      <c r="E48" s="37" t="s">
        <v>256</v>
      </c>
      <c r="F48" s="37" t="s">
        <v>257</v>
      </c>
      <c r="G48" s="37" t="s">
        <v>13</v>
      </c>
      <c r="H48" s="184"/>
      <c r="I48" s="184"/>
      <c r="J48" s="184"/>
      <c r="K48" s="184"/>
      <c r="L48" s="184"/>
      <c r="M48" s="184"/>
      <c r="N48" s="185"/>
      <c r="P48" s="362" t="s">
        <v>378</v>
      </c>
      <c r="Q48" s="362"/>
      <c r="R48" s="488" t="s">
        <v>376</v>
      </c>
      <c r="S48" s="489"/>
      <c r="T48" s="365" t="s">
        <v>377</v>
      </c>
    </row>
    <row r="49" spans="1:20" ht="13.5" customHeight="1" x14ac:dyDescent="0.25">
      <c r="A49" s="493" t="s">
        <v>158</v>
      </c>
      <c r="B49" s="494"/>
      <c r="C49" s="494"/>
      <c r="D49" s="494"/>
      <c r="E49" s="494"/>
      <c r="F49" s="494"/>
      <c r="G49" s="495"/>
      <c r="H49" s="186"/>
      <c r="I49" s="186"/>
      <c r="J49" s="186"/>
      <c r="K49" s="186"/>
      <c r="L49" s="186"/>
      <c r="M49" s="186"/>
      <c r="N49" s="186"/>
      <c r="P49" s="510" t="s">
        <v>254</v>
      </c>
      <c r="Q49" s="511"/>
      <c r="R49" s="363">
        <v>5</v>
      </c>
      <c r="S49" s="11">
        <f>R49/100</f>
        <v>0.05</v>
      </c>
      <c r="T49" s="3">
        <v>1.05</v>
      </c>
    </row>
    <row r="50" spans="1:20" x14ac:dyDescent="0.25">
      <c r="A50" s="52" t="s">
        <v>14</v>
      </c>
      <c r="B50" s="2">
        <f>N6</f>
        <v>12105</v>
      </c>
      <c r="C50" s="2">
        <f>(B50*5%)+B50</f>
        <v>12710.25</v>
      </c>
      <c r="D50" s="367">
        <f>(C50*10%)+C50</f>
        <v>13981.275</v>
      </c>
      <c r="E50" s="2">
        <f>(D50*15%)+D50</f>
        <v>16078.466249999999</v>
      </c>
      <c r="F50" s="367">
        <f>(E50*20%)+E50</f>
        <v>19294.159500000002</v>
      </c>
      <c r="G50" s="2">
        <f>SUM(B50:F50)</f>
        <v>74169.150750000001</v>
      </c>
      <c r="H50" s="187"/>
      <c r="I50" s="187"/>
      <c r="J50" s="187"/>
      <c r="K50" s="187"/>
      <c r="L50" s="187"/>
      <c r="M50" s="187"/>
      <c r="N50" s="187"/>
      <c r="P50" s="510" t="s">
        <v>255</v>
      </c>
      <c r="Q50" s="511"/>
      <c r="R50" s="364">
        <v>10</v>
      </c>
      <c r="S50" s="11">
        <f t="shared" ref="S50:S52" si="52">R50/100</f>
        <v>0.1</v>
      </c>
      <c r="T50" s="3">
        <v>1.1000000000000001</v>
      </c>
    </row>
    <row r="51" spans="1:20" x14ac:dyDescent="0.25">
      <c r="A51" s="52" t="s">
        <v>15</v>
      </c>
      <c r="B51" s="50">
        <v>8.5</v>
      </c>
      <c r="C51" s="50">
        <v>8.5</v>
      </c>
      <c r="D51" s="50">
        <v>8.5</v>
      </c>
      <c r="E51" s="50">
        <v>8.5</v>
      </c>
      <c r="F51" s="50">
        <v>8.5</v>
      </c>
      <c r="G51" s="50"/>
      <c r="H51" s="188"/>
      <c r="I51" s="187"/>
      <c r="J51" s="188"/>
      <c r="K51" s="188"/>
      <c r="L51" s="188"/>
      <c r="M51" s="188"/>
      <c r="N51" s="188"/>
      <c r="P51" s="510" t="s">
        <v>256</v>
      </c>
      <c r="Q51" s="511"/>
      <c r="R51" s="364">
        <v>15</v>
      </c>
      <c r="S51" s="11">
        <f t="shared" si="52"/>
        <v>0.15</v>
      </c>
      <c r="T51" s="3">
        <v>1.1499999999999999</v>
      </c>
    </row>
    <row r="52" spans="1:20" x14ac:dyDescent="0.25">
      <c r="A52" s="52" t="s">
        <v>17</v>
      </c>
      <c r="B52" s="4">
        <f>B50*B51</f>
        <v>102892.5</v>
      </c>
      <c r="C52" s="4">
        <f t="shared" ref="C52:F52" si="53">C50*C51</f>
        <v>108037.125</v>
      </c>
      <c r="D52" s="4">
        <f t="shared" si="53"/>
        <v>118840.83749999999</v>
      </c>
      <c r="E52" s="4">
        <f t="shared" si="53"/>
        <v>136666.96312500001</v>
      </c>
      <c r="F52" s="4">
        <f t="shared" si="53"/>
        <v>164000.35575000002</v>
      </c>
      <c r="G52" s="4">
        <f>SUM(B52:F52)</f>
        <v>630437.78137500002</v>
      </c>
      <c r="H52" s="189"/>
      <c r="I52" s="187"/>
      <c r="J52" s="189"/>
      <c r="K52" s="189"/>
      <c r="L52" s="189"/>
      <c r="M52" s="189"/>
      <c r="N52" s="189"/>
      <c r="P52" s="510" t="s">
        <v>257</v>
      </c>
      <c r="Q52" s="511"/>
      <c r="R52" s="364">
        <v>20</v>
      </c>
      <c r="S52" s="11">
        <f t="shared" si="52"/>
        <v>0.2</v>
      </c>
      <c r="T52" s="3">
        <v>1.2</v>
      </c>
    </row>
    <row r="53" spans="1:20" x14ac:dyDescent="0.25">
      <c r="A53" s="493" t="s">
        <v>65</v>
      </c>
      <c r="B53" s="494"/>
      <c r="C53" s="494"/>
      <c r="D53" s="494"/>
      <c r="E53" s="494"/>
      <c r="F53" s="494"/>
      <c r="G53" s="495"/>
      <c r="H53" s="186"/>
      <c r="I53" s="187"/>
      <c r="J53" s="186"/>
      <c r="K53" s="186"/>
      <c r="L53" s="186"/>
      <c r="M53" s="186"/>
      <c r="N53" s="186"/>
    </row>
    <row r="54" spans="1:20" x14ac:dyDescent="0.25">
      <c r="A54" s="52" t="s">
        <v>14</v>
      </c>
      <c r="B54" s="2">
        <f>N10</f>
        <v>8070</v>
      </c>
      <c r="C54" s="2">
        <f>(B54*5%)+B54</f>
        <v>8473.5</v>
      </c>
      <c r="D54" s="367">
        <f>(C54*10%)+C54</f>
        <v>9320.85</v>
      </c>
      <c r="E54" s="2">
        <f>(D54*15%)+D54</f>
        <v>10718.977500000001</v>
      </c>
      <c r="F54" s="367">
        <f>(E54*20%)+E54</f>
        <v>12862.773000000001</v>
      </c>
      <c r="G54" s="2">
        <f>SUM(B54:F54)</f>
        <v>49446.1005</v>
      </c>
      <c r="H54" s="187"/>
      <c r="I54" s="187"/>
      <c r="J54" s="187"/>
      <c r="K54" s="187"/>
      <c r="L54" s="187"/>
      <c r="M54" s="187"/>
      <c r="N54" s="187"/>
    </row>
    <row r="55" spans="1:20" x14ac:dyDescent="0.25">
      <c r="A55" s="52" t="s">
        <v>15</v>
      </c>
      <c r="B55" s="50">
        <v>6.5</v>
      </c>
      <c r="C55" s="50">
        <v>6.5</v>
      </c>
      <c r="D55" s="50">
        <v>6.5</v>
      </c>
      <c r="E55" s="50">
        <v>6.5</v>
      </c>
      <c r="F55" s="50">
        <v>6.5</v>
      </c>
      <c r="G55" s="50"/>
      <c r="H55" s="188"/>
      <c r="I55" s="187"/>
      <c r="J55" s="188"/>
      <c r="K55" s="188"/>
      <c r="L55" s="188"/>
      <c r="M55" s="188"/>
      <c r="N55" s="188"/>
    </row>
    <row r="56" spans="1:20" x14ac:dyDescent="0.25">
      <c r="A56" s="52" t="s">
        <v>17</v>
      </c>
      <c r="B56" s="4">
        <f>+B54*B55</f>
        <v>52455</v>
      </c>
      <c r="C56" s="4">
        <f t="shared" ref="C56:F56" si="54">+C54*C55</f>
        <v>55077.75</v>
      </c>
      <c r="D56" s="4">
        <f t="shared" si="54"/>
        <v>60585.525000000001</v>
      </c>
      <c r="E56" s="4">
        <f t="shared" si="54"/>
        <v>69673.353750000009</v>
      </c>
      <c r="F56" s="4">
        <f t="shared" si="54"/>
        <v>83608.0245</v>
      </c>
      <c r="G56" s="4">
        <f>SUM(B56:F56)</f>
        <v>321399.65324999997</v>
      </c>
      <c r="H56" s="189"/>
      <c r="I56" s="187"/>
      <c r="J56" s="189"/>
      <c r="K56" s="189"/>
      <c r="L56" s="189"/>
      <c r="M56" s="189"/>
      <c r="N56" s="189"/>
    </row>
    <row r="57" spans="1:20" x14ac:dyDescent="0.25">
      <c r="A57" s="493" t="s">
        <v>159</v>
      </c>
      <c r="B57" s="494"/>
      <c r="C57" s="494"/>
      <c r="D57" s="494"/>
      <c r="E57" s="494"/>
      <c r="F57" s="494"/>
      <c r="G57" s="495"/>
      <c r="H57" s="186"/>
      <c r="I57" s="187"/>
      <c r="J57" s="186"/>
      <c r="K57" s="186"/>
      <c r="L57" s="186"/>
      <c r="M57" s="186"/>
      <c r="N57" s="186"/>
    </row>
    <row r="58" spans="1:20" x14ac:dyDescent="0.25">
      <c r="A58" s="52" t="s">
        <v>14</v>
      </c>
      <c r="B58" s="2">
        <f>N14</f>
        <v>4450</v>
      </c>
      <c r="C58" s="2">
        <f>(B58*5%)+B58</f>
        <v>4672.5</v>
      </c>
      <c r="D58" s="367">
        <f>(C58*10%)+C58</f>
        <v>5139.75</v>
      </c>
      <c r="E58" s="2">
        <f>(D58*15%)+D58</f>
        <v>5910.7124999999996</v>
      </c>
      <c r="F58" s="367">
        <f>(E58*20%)+E58</f>
        <v>7092.8549999999996</v>
      </c>
      <c r="G58" s="2">
        <f>SUM(B58:F58)</f>
        <v>27265.817500000001</v>
      </c>
      <c r="H58" s="187"/>
      <c r="I58" s="187"/>
      <c r="J58" s="187"/>
      <c r="K58" s="187"/>
      <c r="L58" s="187"/>
      <c r="M58" s="187"/>
      <c r="N58" s="187"/>
    </row>
    <row r="59" spans="1:20" x14ac:dyDescent="0.25">
      <c r="A59" s="52" t="s">
        <v>15</v>
      </c>
      <c r="B59" s="50">
        <v>15</v>
      </c>
      <c r="C59" s="50">
        <v>15</v>
      </c>
      <c r="D59" s="50">
        <v>15</v>
      </c>
      <c r="E59" s="50">
        <v>15</v>
      </c>
      <c r="F59" s="50">
        <v>15</v>
      </c>
      <c r="G59" s="50"/>
      <c r="H59" s="188"/>
      <c r="I59" s="187"/>
      <c r="J59" s="188"/>
      <c r="K59" s="188"/>
      <c r="L59" s="188"/>
      <c r="M59" s="188"/>
      <c r="N59" s="187"/>
    </row>
    <row r="60" spans="1:20" x14ac:dyDescent="0.25">
      <c r="A60" s="52" t="s">
        <v>17</v>
      </c>
      <c r="B60" s="4">
        <f>+B58*B59</f>
        <v>66750</v>
      </c>
      <c r="C60" s="4">
        <f t="shared" ref="C60:F60" si="55">+C58*C59</f>
        <v>70087.5</v>
      </c>
      <c r="D60" s="4">
        <f t="shared" si="55"/>
        <v>77096.25</v>
      </c>
      <c r="E60" s="4">
        <f t="shared" si="55"/>
        <v>88660.6875</v>
      </c>
      <c r="F60" s="4">
        <f t="shared" si="55"/>
        <v>106392.825</v>
      </c>
      <c r="G60" s="4">
        <f>SUM(B60:F60)</f>
        <v>408987.26250000001</v>
      </c>
      <c r="H60" s="189"/>
      <c r="I60" s="187"/>
      <c r="J60" s="189"/>
      <c r="K60" s="189"/>
      <c r="L60" s="189"/>
      <c r="M60" s="189"/>
      <c r="N60" s="189"/>
    </row>
    <row r="61" spans="1:20" s="44" customFormat="1" ht="15.75" customHeight="1" x14ac:dyDescent="0.2">
      <c r="A61" s="53" t="s">
        <v>16</v>
      </c>
      <c r="B61" s="54">
        <f>B52+B56+B60</f>
        <v>222097.5</v>
      </c>
      <c r="C61" s="54">
        <f t="shared" ref="C61:M61" si="56">C52+C56+C60</f>
        <v>233202.375</v>
      </c>
      <c r="D61" s="54">
        <f t="shared" si="56"/>
        <v>256522.61249999999</v>
      </c>
      <c r="E61" s="54">
        <f t="shared" si="56"/>
        <v>295001.00437500002</v>
      </c>
      <c r="F61" s="54">
        <f t="shared" si="56"/>
        <v>354001.20525</v>
      </c>
      <c r="G61" s="54">
        <f t="shared" si="56"/>
        <v>1360824.6971249999</v>
      </c>
      <c r="H61" s="190">
        <f t="shared" si="56"/>
        <v>0</v>
      </c>
      <c r="I61" s="187"/>
      <c r="J61" s="190">
        <f t="shared" si="56"/>
        <v>0</v>
      </c>
      <c r="K61" s="190">
        <f t="shared" si="56"/>
        <v>0</v>
      </c>
      <c r="L61" s="190">
        <f t="shared" si="56"/>
        <v>0</v>
      </c>
      <c r="M61" s="190">
        <f t="shared" si="56"/>
        <v>0</v>
      </c>
      <c r="N61" s="190"/>
    </row>
    <row r="62" spans="1:20" ht="13.8" x14ac:dyDescent="0.25">
      <c r="A62" s="200"/>
      <c r="N62" s="55"/>
      <c r="O62" s="60"/>
      <c r="P62" s="55"/>
    </row>
    <row r="63" spans="1:20" ht="21" customHeight="1" x14ac:dyDescent="0.25">
      <c r="A63" s="319" t="s">
        <v>338</v>
      </c>
      <c r="B63" s="318"/>
      <c r="C63" s="318"/>
      <c r="D63" s="318"/>
      <c r="E63" s="318"/>
      <c r="F63" s="318"/>
      <c r="G63" s="318"/>
      <c r="H63" s="318"/>
      <c r="I63" s="318"/>
      <c r="J63" s="318"/>
      <c r="K63" s="318"/>
      <c r="L63" s="318"/>
      <c r="M63" s="318"/>
      <c r="N63" s="318"/>
    </row>
    <row r="64" spans="1:20" ht="13.8" x14ac:dyDescent="0.25">
      <c r="A64" s="200"/>
      <c r="N64" s="55"/>
      <c r="P64" s="55"/>
    </row>
    <row r="65" spans="1:21" ht="20.25" customHeight="1" x14ac:dyDescent="0.25">
      <c r="A65" s="46" t="s">
        <v>0</v>
      </c>
      <c r="B65" s="288" t="s">
        <v>1</v>
      </c>
      <c r="C65" s="288" t="s">
        <v>2</v>
      </c>
      <c r="D65" s="288" t="s">
        <v>3</v>
      </c>
      <c r="E65" s="288" t="s">
        <v>4</v>
      </c>
      <c r="F65" s="288" t="s">
        <v>5</v>
      </c>
      <c r="G65" s="288" t="s">
        <v>6</v>
      </c>
      <c r="H65" s="288" t="s">
        <v>7</v>
      </c>
      <c r="I65" s="288" t="s">
        <v>8</v>
      </c>
      <c r="J65" s="288" t="s">
        <v>9</v>
      </c>
      <c r="K65" s="288" t="s">
        <v>10</v>
      </c>
      <c r="L65" s="46" t="s">
        <v>11</v>
      </c>
      <c r="M65" s="46" t="s">
        <v>12</v>
      </c>
      <c r="N65" s="57" t="s">
        <v>26</v>
      </c>
    </row>
    <row r="66" spans="1:21" s="34" customFormat="1" ht="18" customHeight="1" x14ac:dyDescent="0.3">
      <c r="A66" s="195" t="s">
        <v>61</v>
      </c>
      <c r="B66" s="196">
        <f t="shared" ref="B66:M66" si="57">B6*$B$73</f>
        <v>3365.9999999999995</v>
      </c>
      <c r="C66" s="196">
        <f t="shared" si="57"/>
        <v>3060</v>
      </c>
      <c r="D66" s="196">
        <f t="shared" si="57"/>
        <v>3365.9999999999995</v>
      </c>
      <c r="E66" s="196">
        <f t="shared" si="57"/>
        <v>5049</v>
      </c>
      <c r="F66" s="196">
        <f t="shared" si="57"/>
        <v>4819.5</v>
      </c>
      <c r="G66" s="196">
        <f t="shared" si="57"/>
        <v>5049</v>
      </c>
      <c r="H66" s="196">
        <f t="shared" si="57"/>
        <v>5278.5</v>
      </c>
      <c r="I66" s="196">
        <f t="shared" si="57"/>
        <v>4819.5</v>
      </c>
      <c r="J66" s="196">
        <f t="shared" si="57"/>
        <v>6731.9999999999991</v>
      </c>
      <c r="K66" s="196">
        <f t="shared" si="57"/>
        <v>6731.9999999999991</v>
      </c>
      <c r="L66" s="196">
        <f t="shared" si="57"/>
        <v>6426</v>
      </c>
      <c r="M66" s="196">
        <f t="shared" si="57"/>
        <v>7037.9999999999991</v>
      </c>
      <c r="N66" s="198">
        <f>SUM(B66:M66)</f>
        <v>61735.5</v>
      </c>
      <c r="O66" s="370">
        <f>N66/N8</f>
        <v>0.6</v>
      </c>
      <c r="P66" s="370"/>
      <c r="Q66" s="370"/>
      <c r="R66" s="370"/>
      <c r="S66" s="370"/>
      <c r="T66" s="370"/>
      <c r="U66" s="370"/>
    </row>
    <row r="67" spans="1:21" s="34" customFormat="1" ht="18" customHeight="1" x14ac:dyDescent="0.3">
      <c r="A67" s="195" t="s">
        <v>65</v>
      </c>
      <c r="B67" s="196">
        <f t="shared" ref="B67:M67" si="58">B10*$B$74</f>
        <v>1760</v>
      </c>
      <c r="C67" s="196">
        <f t="shared" si="58"/>
        <v>1600</v>
      </c>
      <c r="D67" s="196">
        <f t="shared" si="58"/>
        <v>1760</v>
      </c>
      <c r="E67" s="196">
        <f t="shared" si="58"/>
        <v>2640</v>
      </c>
      <c r="F67" s="196">
        <f t="shared" si="58"/>
        <v>2520</v>
      </c>
      <c r="G67" s="196">
        <f t="shared" si="58"/>
        <v>2640</v>
      </c>
      <c r="H67" s="196">
        <f t="shared" si="58"/>
        <v>2760</v>
      </c>
      <c r="I67" s="196">
        <f t="shared" si="58"/>
        <v>2520</v>
      </c>
      <c r="J67" s="196">
        <f t="shared" si="58"/>
        <v>3520</v>
      </c>
      <c r="K67" s="196">
        <f t="shared" si="58"/>
        <v>3520</v>
      </c>
      <c r="L67" s="196">
        <f t="shared" si="58"/>
        <v>3360</v>
      </c>
      <c r="M67" s="196">
        <f t="shared" si="58"/>
        <v>3680</v>
      </c>
      <c r="N67" s="198">
        <f t="shared" ref="N67:N69" si="59">SUM(B67:M67)</f>
        <v>32280</v>
      </c>
      <c r="O67" s="370">
        <f>N67/N12</f>
        <v>0.61538461538461542</v>
      </c>
    </row>
    <row r="68" spans="1:21" s="34" customFormat="1" ht="18" customHeight="1" x14ac:dyDescent="0.3">
      <c r="A68" s="195" t="s">
        <v>159</v>
      </c>
      <c r="B68" s="196">
        <f t="shared" ref="B68:M68" si="60">B14*$B$75</f>
        <v>1642.5</v>
      </c>
      <c r="C68" s="196">
        <f t="shared" si="60"/>
        <v>1460</v>
      </c>
      <c r="D68" s="196">
        <f t="shared" si="60"/>
        <v>1642.5</v>
      </c>
      <c r="E68" s="196">
        <f t="shared" si="60"/>
        <v>2336</v>
      </c>
      <c r="F68" s="196">
        <f t="shared" si="60"/>
        <v>2920</v>
      </c>
      <c r="G68" s="196">
        <f t="shared" si="60"/>
        <v>2336</v>
      </c>
      <c r="H68" s="196">
        <f t="shared" si="60"/>
        <v>2336</v>
      </c>
      <c r="I68" s="196">
        <f t="shared" si="60"/>
        <v>2920</v>
      </c>
      <c r="J68" s="196">
        <f t="shared" si="60"/>
        <v>3504</v>
      </c>
      <c r="K68" s="196">
        <f t="shared" si="60"/>
        <v>3942</v>
      </c>
      <c r="L68" s="196">
        <f t="shared" si="60"/>
        <v>3942</v>
      </c>
      <c r="M68" s="196">
        <f t="shared" si="60"/>
        <v>3504</v>
      </c>
      <c r="N68" s="198">
        <f t="shared" si="59"/>
        <v>32485</v>
      </c>
      <c r="O68" s="370">
        <f>N68/N16</f>
        <v>0.48666666666666669</v>
      </c>
    </row>
    <row r="69" spans="1:21" s="34" customFormat="1" ht="16.5" customHeight="1" x14ac:dyDescent="0.3">
      <c r="A69" s="173" t="s">
        <v>26</v>
      </c>
      <c r="B69" s="197">
        <f>SUM(B66:B68)</f>
        <v>6768.5</v>
      </c>
      <c r="C69" s="197">
        <f t="shared" ref="C69:M69" si="61">SUM(C66:C68)</f>
        <v>6120</v>
      </c>
      <c r="D69" s="197">
        <f t="shared" si="61"/>
        <v>6768.5</v>
      </c>
      <c r="E69" s="197">
        <f t="shared" si="61"/>
        <v>10025</v>
      </c>
      <c r="F69" s="197">
        <f t="shared" si="61"/>
        <v>10259.5</v>
      </c>
      <c r="G69" s="197">
        <f t="shared" si="61"/>
        <v>10025</v>
      </c>
      <c r="H69" s="197">
        <f t="shared" si="61"/>
        <v>10374.5</v>
      </c>
      <c r="I69" s="197">
        <f t="shared" si="61"/>
        <v>10259.5</v>
      </c>
      <c r="J69" s="197">
        <f t="shared" si="61"/>
        <v>13756</v>
      </c>
      <c r="K69" s="197">
        <f t="shared" si="61"/>
        <v>14194</v>
      </c>
      <c r="L69" s="197">
        <f t="shared" si="61"/>
        <v>13728</v>
      </c>
      <c r="M69" s="197">
        <f t="shared" si="61"/>
        <v>14222</v>
      </c>
      <c r="N69" s="199">
        <f t="shared" si="59"/>
        <v>126500.5</v>
      </c>
      <c r="O69" s="194"/>
    </row>
    <row r="70" spans="1:21" s="34" customFormat="1" ht="16.5" customHeight="1" x14ac:dyDescent="0.3">
      <c r="A70" s="313"/>
      <c r="B70" s="314"/>
      <c r="C70" s="314"/>
      <c r="D70" s="314"/>
      <c r="E70" s="314"/>
      <c r="F70" s="314"/>
      <c r="G70" s="314"/>
      <c r="H70" s="314"/>
      <c r="I70" s="314"/>
      <c r="J70" s="314"/>
      <c r="K70" s="314"/>
      <c r="L70" s="314"/>
      <c r="M70" s="314"/>
      <c r="N70" s="315"/>
      <c r="O70" s="194"/>
    </row>
    <row r="71" spans="1:21" x14ac:dyDescent="0.25">
      <c r="A71" s="373" t="s">
        <v>381</v>
      </c>
      <c r="B71" s="372">
        <f t="shared" ref="B71:N71" si="62">B17-B69</f>
        <v>5076.5</v>
      </c>
      <c r="C71" s="372">
        <f t="shared" si="62"/>
        <v>4580</v>
      </c>
      <c r="D71" s="372">
        <f t="shared" si="62"/>
        <v>5076.5</v>
      </c>
      <c r="E71" s="372">
        <f t="shared" si="62"/>
        <v>7480</v>
      </c>
      <c r="F71" s="372">
        <f t="shared" si="62"/>
        <v>7868</v>
      </c>
      <c r="G71" s="372">
        <f t="shared" si="62"/>
        <v>7480</v>
      </c>
      <c r="H71" s="372">
        <f t="shared" si="62"/>
        <v>7708</v>
      </c>
      <c r="I71" s="372">
        <f t="shared" si="62"/>
        <v>7868</v>
      </c>
      <c r="J71" s="372">
        <f t="shared" si="62"/>
        <v>10384</v>
      </c>
      <c r="K71" s="372">
        <f t="shared" si="62"/>
        <v>10846</v>
      </c>
      <c r="L71" s="372">
        <f t="shared" si="62"/>
        <v>10542</v>
      </c>
      <c r="M71" s="372">
        <f t="shared" si="62"/>
        <v>10688</v>
      </c>
      <c r="N71" s="372">
        <f t="shared" si="62"/>
        <v>95597</v>
      </c>
      <c r="O71" s="371"/>
    </row>
    <row r="72" spans="1:21" ht="18.75" customHeight="1" x14ac:dyDescent="0.25">
      <c r="A72" s="259" t="s">
        <v>321</v>
      </c>
      <c r="N72" s="55"/>
    </row>
    <row r="73" spans="1:21" x14ac:dyDescent="0.25">
      <c r="A73" s="260" t="s">
        <v>61</v>
      </c>
      <c r="B73" s="45">
        <v>5.0999999999999996</v>
      </c>
      <c r="C73" s="262">
        <f>1.3+0.5+0.33+0.5+2.5</f>
        <v>5.13</v>
      </c>
      <c r="N73" s="55"/>
    </row>
    <row r="74" spans="1:21" ht="14.4" x14ac:dyDescent="0.3">
      <c r="A74" s="260" t="s">
        <v>65</v>
      </c>
      <c r="B74" s="45">
        <v>4</v>
      </c>
      <c r="C74" s="71">
        <f>1.2+0.5+2+0.33</f>
        <v>4.03</v>
      </c>
      <c r="N74" s="55"/>
    </row>
    <row r="75" spans="1:21" ht="14.4" x14ac:dyDescent="0.3">
      <c r="A75" s="260" t="s">
        <v>159</v>
      </c>
      <c r="B75" s="45">
        <v>7.3</v>
      </c>
      <c r="C75" s="71">
        <f>4+0.33+0.5+2.5+0.5</f>
        <v>7.83</v>
      </c>
      <c r="N75" s="55"/>
    </row>
    <row r="76" spans="1:21" x14ac:dyDescent="0.25">
      <c r="C76" s="262"/>
      <c r="N76" s="55"/>
    </row>
    <row r="77" spans="1:21" x14ac:dyDescent="0.25">
      <c r="A77" s="507" t="s">
        <v>252</v>
      </c>
      <c r="B77" s="508"/>
      <c r="C77" s="508"/>
      <c r="D77" s="509"/>
      <c r="N77" s="55"/>
    </row>
    <row r="78" spans="1:21" x14ac:dyDescent="0.25">
      <c r="A78" s="3"/>
      <c r="B78" s="47" t="s">
        <v>61</v>
      </c>
      <c r="C78" s="47" t="s">
        <v>65</v>
      </c>
      <c r="D78" s="47" t="s">
        <v>159</v>
      </c>
      <c r="N78" s="55"/>
    </row>
    <row r="79" spans="1:21" x14ac:dyDescent="0.25">
      <c r="A79" s="361" t="s">
        <v>174</v>
      </c>
      <c r="B79" s="11">
        <v>60</v>
      </c>
      <c r="C79" s="11">
        <v>40</v>
      </c>
      <c r="D79" s="11">
        <v>60</v>
      </c>
      <c r="N79" s="55"/>
    </row>
    <row r="80" spans="1:21" x14ac:dyDescent="0.25">
      <c r="A80" s="360" t="s">
        <v>175</v>
      </c>
      <c r="B80" s="11">
        <v>45</v>
      </c>
      <c r="C80" s="11">
        <v>30</v>
      </c>
      <c r="D80" s="11">
        <v>40</v>
      </c>
      <c r="N80" s="55"/>
    </row>
    <row r="81" spans="1:14" x14ac:dyDescent="0.25">
      <c r="A81" s="359" t="s">
        <v>176</v>
      </c>
      <c r="B81" s="11">
        <v>30</v>
      </c>
      <c r="C81" s="11">
        <v>20</v>
      </c>
      <c r="D81" s="11">
        <v>25</v>
      </c>
      <c r="N81" s="55"/>
    </row>
    <row r="82" spans="1:14" x14ac:dyDescent="0.25">
      <c r="N82" s="55"/>
    </row>
    <row r="83" spans="1:14" x14ac:dyDescent="0.25">
      <c r="A83" s="497" t="s">
        <v>319</v>
      </c>
      <c r="B83" s="496">
        <f t="shared" ref="B83:M83" si="63">B6+B10+B14</f>
        <v>1325</v>
      </c>
      <c r="C83" s="496">
        <f t="shared" si="63"/>
        <v>1200</v>
      </c>
      <c r="D83" s="496">
        <f t="shared" si="63"/>
        <v>1325</v>
      </c>
      <c r="E83" s="496">
        <f t="shared" si="63"/>
        <v>1970</v>
      </c>
      <c r="F83" s="496">
        <f t="shared" si="63"/>
        <v>1975</v>
      </c>
      <c r="G83" s="496">
        <f t="shared" si="63"/>
        <v>1970</v>
      </c>
      <c r="H83" s="496">
        <f t="shared" si="63"/>
        <v>2045</v>
      </c>
      <c r="I83" s="496">
        <f t="shared" si="63"/>
        <v>1975</v>
      </c>
      <c r="J83" s="496">
        <f t="shared" si="63"/>
        <v>2680</v>
      </c>
      <c r="K83" s="496">
        <f t="shared" si="63"/>
        <v>2740</v>
      </c>
      <c r="L83" s="496">
        <f t="shared" si="63"/>
        <v>2640</v>
      </c>
      <c r="M83" s="496">
        <f t="shared" si="63"/>
        <v>2780</v>
      </c>
      <c r="N83" s="55"/>
    </row>
    <row r="84" spans="1:14" x14ac:dyDescent="0.25">
      <c r="A84" s="497"/>
      <c r="B84" s="496"/>
      <c r="C84" s="496"/>
      <c r="D84" s="496"/>
      <c r="E84" s="496"/>
      <c r="F84" s="496"/>
      <c r="G84" s="496"/>
      <c r="H84" s="496"/>
      <c r="I84" s="496"/>
      <c r="J84" s="496"/>
      <c r="K84" s="496"/>
      <c r="L84" s="496"/>
      <c r="M84" s="496"/>
      <c r="N84" s="55"/>
    </row>
    <row r="85" spans="1:14" x14ac:dyDescent="0.25">
      <c r="A85" s="265"/>
      <c r="B85" s="266"/>
      <c r="N85" s="55"/>
    </row>
    <row r="86" spans="1:14" x14ac:dyDescent="0.25">
      <c r="A86" s="265"/>
      <c r="B86" s="266"/>
      <c r="N86" s="55"/>
    </row>
    <row r="87" spans="1:14" x14ac:dyDescent="0.25">
      <c r="A87" s="265"/>
      <c r="B87" s="266"/>
      <c r="N87" s="55"/>
    </row>
    <row r="88" spans="1:14" x14ac:dyDescent="0.25">
      <c r="A88" s="265"/>
      <c r="B88" s="266"/>
      <c r="N88" s="55"/>
    </row>
    <row r="89" spans="1:14" x14ac:dyDescent="0.25">
      <c r="A89" s="265"/>
      <c r="B89" s="266"/>
      <c r="N89" s="55"/>
    </row>
    <row r="90" spans="1:14" x14ac:dyDescent="0.25">
      <c r="A90" s="265"/>
      <c r="B90" s="266"/>
      <c r="N90" s="55"/>
    </row>
    <row r="91" spans="1:14" x14ac:dyDescent="0.25">
      <c r="A91" s="265"/>
      <c r="B91" s="266"/>
      <c r="N91" s="55"/>
    </row>
    <row r="92" spans="1:14" x14ac:dyDescent="0.25">
      <c r="A92" s="265"/>
      <c r="B92" s="266"/>
      <c r="N92" s="55"/>
    </row>
    <row r="93" spans="1:14" x14ac:dyDescent="0.25">
      <c r="A93" s="265"/>
      <c r="B93" s="266"/>
      <c r="N93" s="55"/>
    </row>
    <row r="94" spans="1:14" x14ac:dyDescent="0.25">
      <c r="A94" s="265"/>
      <c r="B94" s="266"/>
      <c r="N94" s="55"/>
    </row>
    <row r="95" spans="1:14" x14ac:dyDescent="0.25">
      <c r="A95" s="265"/>
      <c r="B95" s="266"/>
      <c r="N95" s="55"/>
    </row>
    <row r="96" spans="1:14" x14ac:dyDescent="0.25">
      <c r="A96" s="265"/>
      <c r="B96" s="266"/>
      <c r="N96" s="55"/>
    </row>
    <row r="97" spans="1:14" x14ac:dyDescent="0.25">
      <c r="A97" s="265"/>
      <c r="B97" s="266"/>
      <c r="N97" s="55"/>
    </row>
    <row r="98" spans="1:14" x14ac:dyDescent="0.25">
      <c r="A98" s="265"/>
      <c r="B98" s="266"/>
      <c r="N98" s="55"/>
    </row>
    <row r="99" spans="1:14" x14ac:dyDescent="0.25">
      <c r="A99" s="265"/>
      <c r="B99" s="266"/>
      <c r="N99" s="55"/>
    </row>
    <row r="100" spans="1:14" x14ac:dyDescent="0.25">
      <c r="A100" s="265"/>
      <c r="B100" s="266"/>
      <c r="N100" s="55"/>
    </row>
    <row r="101" spans="1:14" x14ac:dyDescent="0.25">
      <c r="A101" s="265"/>
      <c r="B101" s="266"/>
      <c r="N101" s="55"/>
    </row>
    <row r="102" spans="1:14" x14ac:dyDescent="0.25">
      <c r="A102" s="265"/>
      <c r="B102" s="266"/>
      <c r="N102" s="55"/>
    </row>
    <row r="103" spans="1:14" x14ac:dyDescent="0.25">
      <c r="A103" s="265"/>
      <c r="B103" s="266"/>
      <c r="N103" s="55"/>
    </row>
    <row r="104" spans="1:14" x14ac:dyDescent="0.25">
      <c r="A104" s="265"/>
      <c r="B104" s="266"/>
      <c r="N104" s="55"/>
    </row>
    <row r="105" spans="1:14" x14ac:dyDescent="0.25">
      <c r="A105" s="265"/>
      <c r="B105" s="266"/>
      <c r="N105" s="55"/>
    </row>
    <row r="106" spans="1:14" x14ac:dyDescent="0.25">
      <c r="A106" s="265"/>
      <c r="B106" s="266"/>
      <c r="N106" s="55"/>
    </row>
    <row r="107" spans="1:14" x14ac:dyDescent="0.25">
      <c r="A107" s="265"/>
      <c r="B107" s="266"/>
      <c r="N107" s="55"/>
    </row>
    <row r="108" spans="1:14" x14ac:dyDescent="0.25">
      <c r="A108" s="265"/>
      <c r="B108" s="266"/>
      <c r="N108" s="55"/>
    </row>
    <row r="109" spans="1:14" x14ac:dyDescent="0.25">
      <c r="A109" s="265"/>
      <c r="B109" s="266"/>
      <c r="N109" s="55"/>
    </row>
    <row r="110" spans="1:14" x14ac:dyDescent="0.25">
      <c r="A110" s="265"/>
      <c r="B110" s="266"/>
      <c r="N110" s="55"/>
    </row>
    <row r="111" spans="1:14" x14ac:dyDescent="0.25">
      <c r="A111" s="265"/>
      <c r="B111" s="266"/>
      <c r="N111" s="55"/>
    </row>
  </sheetData>
  <mergeCells count="40">
    <mergeCell ref="A57:G57"/>
    <mergeCell ref="A77:D77"/>
    <mergeCell ref="P49:Q49"/>
    <mergeCell ref="P50:Q50"/>
    <mergeCell ref="P51:Q51"/>
    <mergeCell ref="P52:Q52"/>
    <mergeCell ref="A5:N5"/>
    <mergeCell ref="A9:N9"/>
    <mergeCell ref="A13:N13"/>
    <mergeCell ref="B3:D3"/>
    <mergeCell ref="E3:I3"/>
    <mergeCell ref="J3:M3"/>
    <mergeCell ref="A32:M32"/>
    <mergeCell ref="L83:L84"/>
    <mergeCell ref="M83:M84"/>
    <mergeCell ref="G83:G84"/>
    <mergeCell ref="H83:H84"/>
    <mergeCell ref="I83:I84"/>
    <mergeCell ref="J83:J84"/>
    <mergeCell ref="K83:K84"/>
    <mergeCell ref="B83:B84"/>
    <mergeCell ref="C83:C84"/>
    <mergeCell ref="D83:D84"/>
    <mergeCell ref="E83:E84"/>
    <mergeCell ref="F83:F84"/>
    <mergeCell ref="A83:A84"/>
    <mergeCell ref="A49:G49"/>
    <mergeCell ref="A53:G53"/>
    <mergeCell ref="B22:D22"/>
    <mergeCell ref="E22:I22"/>
    <mergeCell ref="J22:M22"/>
    <mergeCell ref="A24:M24"/>
    <mergeCell ref="A28:M28"/>
    <mergeCell ref="N28:Z28"/>
    <mergeCell ref="N32:Z32"/>
    <mergeCell ref="R48:S48"/>
    <mergeCell ref="N22:P22"/>
    <mergeCell ref="Q22:U22"/>
    <mergeCell ref="V22:Y22"/>
    <mergeCell ref="N24:Y2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33"/>
  <sheetViews>
    <sheetView showGridLines="0" workbookViewId="0">
      <selection activeCell="B5" sqref="B5"/>
    </sheetView>
  </sheetViews>
  <sheetFormatPr baseColWidth="10" defaultColWidth="11.44140625" defaultRowHeight="11.4" x14ac:dyDescent="0.2"/>
  <cols>
    <col min="1" max="1" width="24" style="204" customWidth="1"/>
    <col min="2" max="13" width="12.5546875" style="204" customWidth="1"/>
    <col min="14" max="14" width="13.6640625" style="204" customWidth="1"/>
    <col min="15" max="16384" width="11.44140625" style="204"/>
  </cols>
  <sheetData>
    <row r="1" spans="1:15" s="208" customFormat="1" ht="31.5" customHeight="1" x14ac:dyDescent="0.4">
      <c r="A1" s="105" t="s">
        <v>397</v>
      </c>
    </row>
    <row r="2" spans="1:15" ht="18" customHeight="1" x14ac:dyDescent="0.2"/>
    <row r="3" spans="1:15" s="1" customFormat="1" ht="20.25" customHeight="1" x14ac:dyDescent="0.25">
      <c r="A3" s="214" t="s">
        <v>260</v>
      </c>
      <c r="B3" s="214" t="s">
        <v>1</v>
      </c>
      <c r="C3" s="214" t="s">
        <v>2</v>
      </c>
      <c r="D3" s="214" t="s">
        <v>3</v>
      </c>
      <c r="E3" s="214" t="s">
        <v>4</v>
      </c>
      <c r="F3" s="214" t="s">
        <v>5</v>
      </c>
      <c r="G3" s="214" t="s">
        <v>6</v>
      </c>
      <c r="H3" s="214" t="s">
        <v>7</v>
      </c>
      <c r="I3" s="214" t="s">
        <v>8</v>
      </c>
      <c r="J3" s="214" t="s">
        <v>9</v>
      </c>
      <c r="K3" s="214" t="s">
        <v>10</v>
      </c>
      <c r="L3" s="214" t="s">
        <v>11</v>
      </c>
      <c r="M3" s="214" t="s">
        <v>12</v>
      </c>
      <c r="N3" s="214" t="s">
        <v>26</v>
      </c>
    </row>
    <row r="4" spans="1:15" s="432" customFormat="1" ht="19.5" customHeight="1" x14ac:dyDescent="0.3">
      <c r="A4" s="211" t="s">
        <v>261</v>
      </c>
      <c r="B4" s="207">
        <f t="shared" ref="B4:M4" si="0">B10+B5</f>
        <v>10773.5</v>
      </c>
      <c r="C4" s="207">
        <f t="shared" si="0"/>
        <v>10125</v>
      </c>
      <c r="D4" s="207">
        <f t="shared" si="0"/>
        <v>10773.5</v>
      </c>
      <c r="E4" s="207">
        <f t="shared" si="0"/>
        <v>14030</v>
      </c>
      <c r="F4" s="207">
        <f t="shared" si="0"/>
        <v>14264.5</v>
      </c>
      <c r="G4" s="207">
        <f t="shared" si="0"/>
        <v>14030</v>
      </c>
      <c r="H4" s="207">
        <f t="shared" si="0"/>
        <v>15509.5</v>
      </c>
      <c r="I4" s="207">
        <f t="shared" si="0"/>
        <v>15394.5</v>
      </c>
      <c r="J4" s="207">
        <f t="shared" si="0"/>
        <v>18891</v>
      </c>
      <c r="K4" s="207">
        <f t="shared" si="0"/>
        <v>19329</v>
      </c>
      <c r="L4" s="207">
        <f t="shared" si="0"/>
        <v>18863</v>
      </c>
      <c r="M4" s="207">
        <f t="shared" si="0"/>
        <v>19357</v>
      </c>
      <c r="N4" s="209">
        <f>SUM(B4:M4)</f>
        <v>181340.5</v>
      </c>
    </row>
    <row r="5" spans="1:15" s="432" customFormat="1" ht="19.5" customHeight="1" x14ac:dyDescent="0.3">
      <c r="A5" s="216" t="s">
        <v>268</v>
      </c>
      <c r="B5" s="209">
        <f>B6+B8</f>
        <v>8718.5</v>
      </c>
      <c r="C5" s="209">
        <f t="shared" ref="C5:M5" si="1">C6+C8</f>
        <v>8070</v>
      </c>
      <c r="D5" s="209">
        <f t="shared" si="1"/>
        <v>8718.5</v>
      </c>
      <c r="E5" s="209">
        <f t="shared" si="1"/>
        <v>11975</v>
      </c>
      <c r="F5" s="209">
        <f t="shared" si="1"/>
        <v>12209.5</v>
      </c>
      <c r="G5" s="209">
        <f t="shared" si="1"/>
        <v>11975</v>
      </c>
      <c r="H5" s="209">
        <f t="shared" si="1"/>
        <v>13454.5</v>
      </c>
      <c r="I5" s="209">
        <f t="shared" si="1"/>
        <v>13339.5</v>
      </c>
      <c r="J5" s="209">
        <f t="shared" si="1"/>
        <v>16836</v>
      </c>
      <c r="K5" s="209">
        <f t="shared" si="1"/>
        <v>17274</v>
      </c>
      <c r="L5" s="209">
        <f t="shared" si="1"/>
        <v>16808</v>
      </c>
      <c r="M5" s="209">
        <f t="shared" si="1"/>
        <v>17302</v>
      </c>
      <c r="N5" s="209">
        <f t="shared" ref="N5:N6" si="2">SUM(B5:M5)</f>
        <v>156680.5</v>
      </c>
    </row>
    <row r="6" spans="1:15" s="432" customFormat="1" ht="19.5" customHeight="1" x14ac:dyDescent="0.3">
      <c r="A6" s="433" t="s">
        <v>266</v>
      </c>
      <c r="B6" s="209">
        <f>B7</f>
        <v>6768.5</v>
      </c>
      <c r="C6" s="209">
        <f>C7</f>
        <v>6120</v>
      </c>
      <c r="D6" s="209">
        <f>D7</f>
        <v>6768.5</v>
      </c>
      <c r="E6" s="209">
        <f t="shared" ref="E6:M6" si="3">E7</f>
        <v>10025</v>
      </c>
      <c r="F6" s="209">
        <f t="shared" si="3"/>
        <v>10259.5</v>
      </c>
      <c r="G6" s="209">
        <f t="shared" si="3"/>
        <v>10025</v>
      </c>
      <c r="H6" s="209">
        <f t="shared" si="3"/>
        <v>10374.5</v>
      </c>
      <c r="I6" s="209">
        <f t="shared" si="3"/>
        <v>10259.5</v>
      </c>
      <c r="J6" s="209">
        <f t="shared" si="3"/>
        <v>13756</v>
      </c>
      <c r="K6" s="209">
        <f t="shared" si="3"/>
        <v>14194</v>
      </c>
      <c r="L6" s="209">
        <f t="shared" si="3"/>
        <v>13728</v>
      </c>
      <c r="M6" s="209">
        <f t="shared" si="3"/>
        <v>14222</v>
      </c>
      <c r="N6" s="209">
        <f t="shared" si="2"/>
        <v>126500.5</v>
      </c>
    </row>
    <row r="7" spans="1:15" s="432" customFormat="1" ht="19.5" customHeight="1" x14ac:dyDescent="0.3">
      <c r="A7" s="212" t="s">
        <v>299</v>
      </c>
      <c r="B7" s="209">
        <f>'Costo M. Prima'!B8</f>
        <v>6768.5</v>
      </c>
      <c r="C7" s="209">
        <f>'Costo M. Prima'!C8</f>
        <v>6120</v>
      </c>
      <c r="D7" s="209">
        <f>'Costo M. Prima'!D8</f>
        <v>6768.5</v>
      </c>
      <c r="E7" s="209">
        <f>'Costo M. Prima'!E8</f>
        <v>10025</v>
      </c>
      <c r="F7" s="209">
        <f>'Costo M. Prima'!F8</f>
        <v>10259.5</v>
      </c>
      <c r="G7" s="209">
        <f>'Costo M. Prima'!G8</f>
        <v>10025</v>
      </c>
      <c r="H7" s="209">
        <f>'Costo M. Prima'!H8</f>
        <v>10374.5</v>
      </c>
      <c r="I7" s="209">
        <f>'Costo M. Prima'!I8</f>
        <v>10259.5</v>
      </c>
      <c r="J7" s="209">
        <f>'Costo M. Prima'!J8</f>
        <v>13756</v>
      </c>
      <c r="K7" s="209">
        <f>'Costo M. Prima'!K8</f>
        <v>14194</v>
      </c>
      <c r="L7" s="209">
        <f>'Costo M. Prima'!L8</f>
        <v>13728</v>
      </c>
      <c r="M7" s="209">
        <f>'Costo M. Prima'!M8</f>
        <v>14222</v>
      </c>
      <c r="N7" s="209"/>
    </row>
    <row r="8" spans="1:15" s="432" customFormat="1" ht="19.5" customHeight="1" x14ac:dyDescent="0.3">
      <c r="A8" s="212" t="s">
        <v>267</v>
      </c>
      <c r="B8" s="209">
        <f>B9</f>
        <v>1950</v>
      </c>
      <c r="C8" s="209">
        <f t="shared" ref="C8:M8" si="4">C9</f>
        <v>1950</v>
      </c>
      <c r="D8" s="209">
        <f t="shared" si="4"/>
        <v>1950</v>
      </c>
      <c r="E8" s="209">
        <f t="shared" si="4"/>
        <v>1950</v>
      </c>
      <c r="F8" s="209">
        <f t="shared" si="4"/>
        <v>1950</v>
      </c>
      <c r="G8" s="209">
        <f t="shared" si="4"/>
        <v>1950</v>
      </c>
      <c r="H8" s="209">
        <f t="shared" si="4"/>
        <v>3080</v>
      </c>
      <c r="I8" s="209">
        <f t="shared" si="4"/>
        <v>3080</v>
      </c>
      <c r="J8" s="209">
        <f t="shared" si="4"/>
        <v>3080</v>
      </c>
      <c r="K8" s="209">
        <f t="shared" si="4"/>
        <v>3080</v>
      </c>
      <c r="L8" s="209">
        <f t="shared" si="4"/>
        <v>3080</v>
      </c>
      <c r="M8" s="209">
        <f t="shared" si="4"/>
        <v>3080</v>
      </c>
      <c r="N8" s="209">
        <f>SUM(B8:M8)</f>
        <v>30180</v>
      </c>
      <c r="O8" s="434"/>
    </row>
    <row r="9" spans="1:15" s="432" customFormat="1" ht="19.5" customHeight="1" x14ac:dyDescent="0.3">
      <c r="A9" s="213" t="s">
        <v>300</v>
      </c>
      <c r="B9" s="209">
        <f>CostosDePersonal!$D$16</f>
        <v>1950</v>
      </c>
      <c r="C9" s="209">
        <f>CostosDePersonal!$D$16</f>
        <v>1950</v>
      </c>
      <c r="D9" s="209">
        <f>CostosDePersonal!$D$16</f>
        <v>1950</v>
      </c>
      <c r="E9" s="209">
        <f>CostosDePersonal!$D$16</f>
        <v>1950</v>
      </c>
      <c r="F9" s="209">
        <f>CostosDePersonal!$D$16</f>
        <v>1950</v>
      </c>
      <c r="G9" s="209">
        <f>CostosDePersonal!$D$16</f>
        <v>1950</v>
      </c>
      <c r="H9" s="209">
        <f>CostosDePersonal!$D$24</f>
        <v>3080</v>
      </c>
      <c r="I9" s="209">
        <f>CostosDePersonal!$D$24</f>
        <v>3080</v>
      </c>
      <c r="J9" s="209">
        <f>CostosDePersonal!$D$24</f>
        <v>3080</v>
      </c>
      <c r="K9" s="209">
        <f>CostosDePersonal!$D$24</f>
        <v>3080</v>
      </c>
      <c r="L9" s="209">
        <f>CostosDePersonal!$D$24</f>
        <v>3080</v>
      </c>
      <c r="M9" s="209">
        <f>CostosDePersonal!$D$24</f>
        <v>3080</v>
      </c>
      <c r="N9" s="209"/>
    </row>
    <row r="10" spans="1:15" s="432" customFormat="1" ht="19.5" customHeight="1" x14ac:dyDescent="0.3">
      <c r="A10" s="216" t="s">
        <v>269</v>
      </c>
      <c r="B10" s="209">
        <f>B11+B12</f>
        <v>2055</v>
      </c>
      <c r="C10" s="209">
        <f t="shared" ref="C10:M10" si="5">C11+C12</f>
        <v>2055</v>
      </c>
      <c r="D10" s="209">
        <f t="shared" si="5"/>
        <v>2055</v>
      </c>
      <c r="E10" s="209">
        <f t="shared" si="5"/>
        <v>2055</v>
      </c>
      <c r="F10" s="209">
        <f t="shared" si="5"/>
        <v>2055</v>
      </c>
      <c r="G10" s="209">
        <f t="shared" si="5"/>
        <v>2055</v>
      </c>
      <c r="H10" s="209">
        <f t="shared" si="5"/>
        <v>2055</v>
      </c>
      <c r="I10" s="209">
        <f t="shared" si="5"/>
        <v>2055</v>
      </c>
      <c r="J10" s="209">
        <f t="shared" si="5"/>
        <v>2055</v>
      </c>
      <c r="K10" s="209">
        <f t="shared" si="5"/>
        <v>2055</v>
      </c>
      <c r="L10" s="209">
        <f t="shared" si="5"/>
        <v>2055</v>
      </c>
      <c r="M10" s="209">
        <f t="shared" si="5"/>
        <v>2055</v>
      </c>
      <c r="N10" s="209">
        <f>SUM(B10:M10)</f>
        <v>24660</v>
      </c>
    </row>
    <row r="11" spans="1:15" s="432" customFormat="1" ht="19.5" customHeight="1" x14ac:dyDescent="0.3">
      <c r="A11" s="212" t="s">
        <v>262</v>
      </c>
      <c r="B11" s="210">
        <f>'Otros Costos'!B7</f>
        <v>1500</v>
      </c>
      <c r="C11" s="209">
        <f>B11</f>
        <v>1500</v>
      </c>
      <c r="D11" s="209">
        <f t="shared" ref="D11:M12" si="6">C11</f>
        <v>1500</v>
      </c>
      <c r="E11" s="209">
        <f t="shared" si="6"/>
        <v>1500</v>
      </c>
      <c r="F11" s="209">
        <f t="shared" si="6"/>
        <v>1500</v>
      </c>
      <c r="G11" s="209">
        <f t="shared" si="6"/>
        <v>1500</v>
      </c>
      <c r="H11" s="209">
        <f t="shared" si="6"/>
        <v>1500</v>
      </c>
      <c r="I11" s="209">
        <f t="shared" si="6"/>
        <v>1500</v>
      </c>
      <c r="J11" s="209">
        <f t="shared" si="6"/>
        <v>1500</v>
      </c>
      <c r="K11" s="209">
        <f t="shared" si="6"/>
        <v>1500</v>
      </c>
      <c r="L11" s="209">
        <f t="shared" si="6"/>
        <v>1500</v>
      </c>
      <c r="M11" s="209">
        <f t="shared" si="6"/>
        <v>1500</v>
      </c>
      <c r="N11" s="209">
        <f t="shared" ref="N11:N17" si="7">SUM(B11:M11)</f>
        <v>18000</v>
      </c>
    </row>
    <row r="12" spans="1:15" s="432" customFormat="1" ht="19.5" customHeight="1" x14ac:dyDescent="0.3">
      <c r="A12" s="212" t="s">
        <v>265</v>
      </c>
      <c r="B12" s="209">
        <f>'Otros Costos'!B4+'Otros Costos'!B5+'Otros Costos'!B6+'Otros Costos'!B8+'Otros Costos'!B9+'Otros Costos'!B10</f>
        <v>555</v>
      </c>
      <c r="C12" s="209">
        <f>B12</f>
        <v>555</v>
      </c>
      <c r="D12" s="209">
        <f t="shared" si="6"/>
        <v>555</v>
      </c>
      <c r="E12" s="209">
        <f t="shared" si="6"/>
        <v>555</v>
      </c>
      <c r="F12" s="209">
        <f t="shared" si="6"/>
        <v>555</v>
      </c>
      <c r="G12" s="209">
        <f t="shared" si="6"/>
        <v>555</v>
      </c>
      <c r="H12" s="209">
        <f t="shared" si="6"/>
        <v>555</v>
      </c>
      <c r="I12" s="209">
        <f t="shared" si="6"/>
        <v>555</v>
      </c>
      <c r="J12" s="209">
        <f t="shared" si="6"/>
        <v>555</v>
      </c>
      <c r="K12" s="209">
        <f t="shared" si="6"/>
        <v>555</v>
      </c>
      <c r="L12" s="209">
        <f t="shared" si="6"/>
        <v>555</v>
      </c>
      <c r="M12" s="209">
        <f t="shared" si="6"/>
        <v>555</v>
      </c>
      <c r="N12" s="209">
        <f t="shared" si="7"/>
        <v>6660</v>
      </c>
    </row>
    <row r="13" spans="1:15" s="432" customFormat="1" ht="19.5" customHeight="1" x14ac:dyDescent="0.3">
      <c r="A13" s="211" t="s">
        <v>263</v>
      </c>
      <c r="B13" s="215">
        <f t="shared" ref="B13:M13" si="8">B16+B14</f>
        <v>1320.2805555555556</v>
      </c>
      <c r="C13" s="215">
        <f t="shared" si="8"/>
        <v>1320.2805555555556</v>
      </c>
      <c r="D13" s="215">
        <f t="shared" si="8"/>
        <v>1320.2805555555556</v>
      </c>
      <c r="E13" s="215">
        <f t="shared" si="8"/>
        <v>1320.2805555555556</v>
      </c>
      <c r="F13" s="215">
        <f t="shared" si="8"/>
        <v>1320.2805555555556</v>
      </c>
      <c r="G13" s="215">
        <f t="shared" si="8"/>
        <v>1320.2805555555556</v>
      </c>
      <c r="H13" s="215">
        <f t="shared" si="8"/>
        <v>1320.2805555555556</v>
      </c>
      <c r="I13" s="215">
        <f t="shared" si="8"/>
        <v>1320.2805555555556</v>
      </c>
      <c r="J13" s="215">
        <f t="shared" si="8"/>
        <v>1320.2805555555556</v>
      </c>
      <c r="K13" s="215">
        <f t="shared" si="8"/>
        <v>1320.2805555555556</v>
      </c>
      <c r="L13" s="215">
        <f t="shared" si="8"/>
        <v>1320.2805555555556</v>
      </c>
      <c r="M13" s="215">
        <f t="shared" si="8"/>
        <v>1320.2805555555556</v>
      </c>
      <c r="N13" s="209">
        <f t="shared" si="7"/>
        <v>15843.366666666663</v>
      </c>
    </row>
    <row r="14" spans="1:15" s="432" customFormat="1" ht="19.5" customHeight="1" x14ac:dyDescent="0.3">
      <c r="A14" s="211" t="s">
        <v>297</v>
      </c>
      <c r="B14" s="207">
        <f>B15</f>
        <v>1320.2805555555556</v>
      </c>
      <c r="C14" s="207">
        <f t="shared" ref="C14:M14" si="9">C15</f>
        <v>1320.2805555555556</v>
      </c>
      <c r="D14" s="207">
        <f t="shared" si="9"/>
        <v>1320.2805555555556</v>
      </c>
      <c r="E14" s="207">
        <f t="shared" si="9"/>
        <v>1320.2805555555556</v>
      </c>
      <c r="F14" s="207">
        <f t="shared" si="9"/>
        <v>1320.2805555555556</v>
      </c>
      <c r="G14" s="207">
        <f t="shared" si="9"/>
        <v>1320.2805555555556</v>
      </c>
      <c r="H14" s="207">
        <f t="shared" si="9"/>
        <v>1320.2805555555556</v>
      </c>
      <c r="I14" s="207">
        <f t="shared" si="9"/>
        <v>1320.2805555555556</v>
      </c>
      <c r="J14" s="207">
        <f t="shared" si="9"/>
        <v>1320.2805555555556</v>
      </c>
      <c r="K14" s="207">
        <f t="shared" si="9"/>
        <v>1320.2805555555556</v>
      </c>
      <c r="L14" s="207">
        <f t="shared" si="9"/>
        <v>1320.2805555555556</v>
      </c>
      <c r="M14" s="207">
        <f t="shared" si="9"/>
        <v>1320.2805555555556</v>
      </c>
      <c r="N14" s="209">
        <f t="shared" si="7"/>
        <v>15843.366666666663</v>
      </c>
    </row>
    <row r="15" spans="1:15" s="432" customFormat="1" ht="19.5" customHeight="1" x14ac:dyDescent="0.3">
      <c r="A15" s="213" t="s">
        <v>40</v>
      </c>
      <c r="B15" s="210">
        <f>Depreciación!E26</f>
        <v>1320.2805555555556</v>
      </c>
      <c r="C15" s="210">
        <f>B15</f>
        <v>1320.2805555555556</v>
      </c>
      <c r="D15" s="210">
        <f t="shared" ref="D15:M15" si="10">C15</f>
        <v>1320.2805555555556</v>
      </c>
      <c r="E15" s="210">
        <f t="shared" si="10"/>
        <v>1320.2805555555556</v>
      </c>
      <c r="F15" s="210">
        <f t="shared" si="10"/>
        <v>1320.2805555555556</v>
      </c>
      <c r="G15" s="210">
        <f t="shared" si="10"/>
        <v>1320.2805555555556</v>
      </c>
      <c r="H15" s="210">
        <f t="shared" si="10"/>
        <v>1320.2805555555556</v>
      </c>
      <c r="I15" s="210">
        <f t="shared" si="10"/>
        <v>1320.2805555555556</v>
      </c>
      <c r="J15" s="210">
        <f t="shared" si="10"/>
        <v>1320.2805555555556</v>
      </c>
      <c r="K15" s="210">
        <f t="shared" si="10"/>
        <v>1320.2805555555556</v>
      </c>
      <c r="L15" s="210">
        <f t="shared" si="10"/>
        <v>1320.2805555555556</v>
      </c>
      <c r="M15" s="210">
        <f t="shared" si="10"/>
        <v>1320.2805555555556</v>
      </c>
      <c r="N15" s="209">
        <f t="shared" si="7"/>
        <v>15843.366666666663</v>
      </c>
    </row>
    <row r="16" spans="1:15" s="432" customFormat="1" ht="19.5" customHeight="1" x14ac:dyDescent="0.3">
      <c r="A16" s="211" t="s">
        <v>298</v>
      </c>
      <c r="B16" s="207">
        <v>0</v>
      </c>
      <c r="C16" s="207">
        <v>0</v>
      </c>
      <c r="D16" s="207">
        <v>0</v>
      </c>
      <c r="E16" s="207">
        <v>0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9"/>
    </row>
    <row r="17" spans="1:14" s="281" customFormat="1" ht="15.75" customHeight="1" x14ac:dyDescent="0.3">
      <c r="A17" s="173" t="s">
        <v>325</v>
      </c>
      <c r="B17" s="282">
        <f t="shared" ref="B17:M17" si="11">B4+B13</f>
        <v>12093.780555555555</v>
      </c>
      <c r="C17" s="282">
        <f t="shared" si="11"/>
        <v>11445.280555555555</v>
      </c>
      <c r="D17" s="282">
        <f t="shared" si="11"/>
        <v>12093.780555555555</v>
      </c>
      <c r="E17" s="282">
        <f t="shared" si="11"/>
        <v>15350.280555555555</v>
      </c>
      <c r="F17" s="282">
        <f t="shared" si="11"/>
        <v>15584.780555555555</v>
      </c>
      <c r="G17" s="282">
        <f t="shared" si="11"/>
        <v>15350.280555555555</v>
      </c>
      <c r="H17" s="282">
        <f t="shared" si="11"/>
        <v>16829.780555555557</v>
      </c>
      <c r="I17" s="282">
        <f t="shared" si="11"/>
        <v>16714.780555555557</v>
      </c>
      <c r="J17" s="282">
        <f t="shared" si="11"/>
        <v>20211.280555555557</v>
      </c>
      <c r="K17" s="282">
        <f t="shared" si="11"/>
        <v>20649.280555555557</v>
      </c>
      <c r="L17" s="282">
        <f t="shared" si="11"/>
        <v>20183.280555555557</v>
      </c>
      <c r="M17" s="282">
        <f t="shared" si="11"/>
        <v>20677.280555555557</v>
      </c>
      <c r="N17" s="435">
        <f t="shared" si="7"/>
        <v>197183.8666666667</v>
      </c>
    </row>
    <row r="19" spans="1:14" ht="15.75" customHeight="1" x14ac:dyDescent="0.2"/>
    <row r="20" spans="1:14" ht="18" customHeight="1" x14ac:dyDescent="0.2">
      <c r="A20" s="214" t="s">
        <v>260</v>
      </c>
      <c r="B20" s="214" t="s">
        <v>337</v>
      </c>
      <c r="C20" s="214" t="s">
        <v>253</v>
      </c>
      <c r="D20" s="214" t="s">
        <v>254</v>
      </c>
      <c r="E20" s="214" t="s">
        <v>255</v>
      </c>
      <c r="F20" s="214" t="s">
        <v>256</v>
      </c>
      <c r="G20" s="214" t="s">
        <v>257</v>
      </c>
    </row>
    <row r="21" spans="1:14" s="222" customFormat="1" ht="18" customHeight="1" x14ac:dyDescent="0.25">
      <c r="A21" s="306" t="s">
        <v>261</v>
      </c>
      <c r="B21" s="160"/>
      <c r="C21" s="310">
        <f>C22+C25</f>
        <v>181340.5</v>
      </c>
      <c r="D21" s="310">
        <f t="shared" ref="D21:G21" si="12">D22+D25</f>
        <v>178467.78750000001</v>
      </c>
      <c r="E21" s="310">
        <f t="shared" si="12"/>
        <v>190376.97225000002</v>
      </c>
      <c r="F21" s="310">
        <f t="shared" si="12"/>
        <v>209867.72484749998</v>
      </c>
      <c r="G21" s="310">
        <f t="shared" si="12"/>
        <v>239621.89751159999</v>
      </c>
    </row>
    <row r="22" spans="1:14" ht="18" customHeight="1" x14ac:dyDescent="0.2">
      <c r="A22" s="216" t="s">
        <v>268</v>
      </c>
      <c r="B22" s="52"/>
      <c r="C22" s="307">
        <f>SUM(C23:C24)</f>
        <v>156680.5</v>
      </c>
      <c r="D22" s="307">
        <f t="shared" ref="D22:G22" si="13">SUM(D23:D24)</f>
        <v>153561.1875</v>
      </c>
      <c r="E22" s="307">
        <f t="shared" si="13"/>
        <v>165221.30625000002</v>
      </c>
      <c r="F22" s="307">
        <f t="shared" si="13"/>
        <v>184460.50218749998</v>
      </c>
      <c r="G22" s="307">
        <f t="shared" si="13"/>
        <v>213960.602625</v>
      </c>
    </row>
    <row r="23" spans="1:14" ht="18" customHeight="1" x14ac:dyDescent="0.2">
      <c r="A23" s="212" t="s">
        <v>266</v>
      </c>
      <c r="B23" s="52"/>
      <c r="C23" s="307">
        <f>N6</f>
        <v>126500.5</v>
      </c>
      <c r="D23" s="52">
        <f>'Costo M. Prima'!C16</f>
        <v>116601.1875</v>
      </c>
      <c r="E23" s="52">
        <f>'Costo M. Prima'!D16</f>
        <v>128261.30625000002</v>
      </c>
      <c r="F23" s="52">
        <f>'Costo M. Prima'!E16</f>
        <v>147500.50218749998</v>
      </c>
      <c r="G23" s="52">
        <f>'Costo M. Prima'!F16</f>
        <v>177000.602625</v>
      </c>
    </row>
    <row r="24" spans="1:14" ht="18" customHeight="1" x14ac:dyDescent="0.2">
      <c r="A24" s="212" t="s">
        <v>267</v>
      </c>
      <c r="B24" s="307"/>
      <c r="C24" s="307">
        <f>N8</f>
        <v>30180</v>
      </c>
      <c r="D24" s="307">
        <f>'PlanDeVentas y FlujoDeEfectivo'!D31</f>
        <v>36960</v>
      </c>
      <c r="E24" s="307">
        <f>'PlanDeVentas y FlujoDeEfectivo'!E31</f>
        <v>36960</v>
      </c>
      <c r="F24" s="307">
        <f>'PlanDeVentas y FlujoDeEfectivo'!F31</f>
        <v>36960</v>
      </c>
      <c r="G24" s="307">
        <f>'PlanDeVentas y FlujoDeEfectivo'!G31</f>
        <v>36960</v>
      </c>
    </row>
    <row r="25" spans="1:14" ht="18" customHeight="1" x14ac:dyDescent="0.2">
      <c r="A25" s="216" t="s">
        <v>269</v>
      </c>
      <c r="B25" s="311"/>
      <c r="C25" s="307">
        <f>N10</f>
        <v>24660</v>
      </c>
      <c r="D25" s="311">
        <f>'Otros Costos'!E11</f>
        <v>24906.6</v>
      </c>
      <c r="E25" s="311">
        <f>'Otros Costos'!F11</f>
        <v>25155.665999999997</v>
      </c>
      <c r="F25" s="311">
        <f>'Otros Costos'!G11</f>
        <v>25407.222659999999</v>
      </c>
      <c r="G25" s="311">
        <f>'Otros Costos'!H11</f>
        <v>25661.294886600001</v>
      </c>
    </row>
    <row r="26" spans="1:14" s="222" customFormat="1" ht="18" customHeight="1" x14ac:dyDescent="0.25">
      <c r="A26" s="306" t="s">
        <v>263</v>
      </c>
      <c r="B26" s="160"/>
      <c r="C26" s="310"/>
      <c r="D26" s="160"/>
      <c r="E26" s="160"/>
      <c r="F26" s="160"/>
      <c r="G26" s="160"/>
    </row>
    <row r="27" spans="1:14" ht="18" customHeight="1" x14ac:dyDescent="0.2">
      <c r="A27" s="211" t="s">
        <v>297</v>
      </c>
      <c r="B27" s="52"/>
      <c r="C27" s="307">
        <f>C28</f>
        <v>15843.366666666663</v>
      </c>
      <c r="D27" s="307">
        <f t="shared" ref="D27:G27" si="14">D28</f>
        <v>15843.366666666663</v>
      </c>
      <c r="E27" s="307">
        <f t="shared" si="14"/>
        <v>15843.366666666663</v>
      </c>
      <c r="F27" s="307">
        <f t="shared" si="14"/>
        <v>15843.366666666663</v>
      </c>
      <c r="G27" s="307">
        <f t="shared" si="14"/>
        <v>15843.366666666663</v>
      </c>
    </row>
    <row r="28" spans="1:14" ht="18" customHeight="1" x14ac:dyDescent="0.2">
      <c r="A28" s="213" t="s">
        <v>40</v>
      </c>
      <c r="B28" s="52"/>
      <c r="C28" s="307">
        <f>$N$15</f>
        <v>15843.366666666663</v>
      </c>
      <c r="D28" s="307">
        <f t="shared" ref="D28:G28" si="15">$N$15</f>
        <v>15843.366666666663</v>
      </c>
      <c r="E28" s="307">
        <f t="shared" si="15"/>
        <v>15843.366666666663</v>
      </c>
      <c r="F28" s="307">
        <f t="shared" si="15"/>
        <v>15843.366666666663</v>
      </c>
      <c r="G28" s="307">
        <f t="shared" si="15"/>
        <v>15843.366666666663</v>
      </c>
    </row>
    <row r="29" spans="1:14" ht="18" customHeight="1" x14ac:dyDescent="0.2">
      <c r="A29" s="436" t="s">
        <v>325</v>
      </c>
      <c r="B29" s="437"/>
      <c r="C29" s="438">
        <f>C21+C27</f>
        <v>197183.86666666667</v>
      </c>
      <c r="D29" s="438">
        <f t="shared" ref="D29:G29" si="16">D21+D27</f>
        <v>194311.15416666667</v>
      </c>
      <c r="E29" s="438">
        <f t="shared" si="16"/>
        <v>206220.33891666669</v>
      </c>
      <c r="F29" s="438">
        <f t="shared" si="16"/>
        <v>225711.09151416665</v>
      </c>
      <c r="G29" s="438">
        <f t="shared" si="16"/>
        <v>255465.26417826666</v>
      </c>
    </row>
    <row r="30" spans="1:14" x14ac:dyDescent="0.2">
      <c r="B30" s="308"/>
    </row>
    <row r="31" spans="1:14" x14ac:dyDescent="0.2">
      <c r="B31" s="308"/>
    </row>
    <row r="32" spans="1:14" x14ac:dyDescent="0.2">
      <c r="B32" s="308"/>
    </row>
    <row r="33" spans="2:2" x14ac:dyDescent="0.2">
      <c r="B33" s="30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6"/>
  <sheetViews>
    <sheetView showGridLines="0" tabSelected="1" zoomScale="110" zoomScaleNormal="110" workbookViewId="0">
      <selection activeCell="J7" sqref="J7"/>
    </sheetView>
  </sheetViews>
  <sheetFormatPr baseColWidth="10" defaultRowHeight="14.4" x14ac:dyDescent="0.3"/>
  <cols>
    <col min="1" max="1" width="26.33203125" customWidth="1"/>
    <col min="2" max="2" width="11.88671875" customWidth="1"/>
    <col min="3" max="3" width="15.109375" style="101" customWidth="1"/>
    <col min="4" max="4" width="17" customWidth="1"/>
    <col min="5" max="5" width="17.33203125" style="458" customWidth="1"/>
    <col min="6" max="6" width="15.88671875" style="101" customWidth="1"/>
    <col min="7" max="7" width="14" customWidth="1"/>
  </cols>
  <sheetData>
    <row r="1" spans="1:7" ht="21" x14ac:dyDescent="0.4">
      <c r="A1" s="105" t="s">
        <v>152</v>
      </c>
    </row>
    <row r="3" spans="1:7" ht="26.25" customHeight="1" x14ac:dyDescent="0.3">
      <c r="A3" s="73" t="s">
        <v>33</v>
      </c>
      <c r="B3" s="73" t="s">
        <v>34</v>
      </c>
      <c r="C3" s="445" t="s">
        <v>35</v>
      </c>
      <c r="D3" s="168" t="s">
        <v>36</v>
      </c>
      <c r="E3" s="459" t="s">
        <v>37</v>
      </c>
      <c r="F3" s="452" t="s">
        <v>438</v>
      </c>
      <c r="G3" s="452" t="s">
        <v>439</v>
      </c>
    </row>
    <row r="4" spans="1:7" s="35" customFormat="1" x14ac:dyDescent="0.3">
      <c r="A4" s="125" t="s">
        <v>75</v>
      </c>
      <c r="B4" s="2"/>
      <c r="C4" s="167"/>
      <c r="D4" s="36"/>
      <c r="E4" s="460"/>
      <c r="F4" s="453"/>
      <c r="G4" s="455"/>
    </row>
    <row r="5" spans="1:7" s="35" customFormat="1" x14ac:dyDescent="0.3">
      <c r="A5" s="26" t="s">
        <v>77</v>
      </c>
      <c r="B5" s="2">
        <f>Inversión!C6</f>
        <v>50000</v>
      </c>
      <c r="C5" s="464">
        <v>5</v>
      </c>
      <c r="D5" s="457">
        <f>+B5/C5</f>
        <v>10000</v>
      </c>
      <c r="E5" s="462">
        <f>+D5/12</f>
        <v>833.33333333333337</v>
      </c>
      <c r="F5" s="454">
        <f>1/C5</f>
        <v>0.2</v>
      </c>
      <c r="G5" s="456">
        <f>B5-(D5*5)</f>
        <v>0</v>
      </c>
    </row>
    <row r="6" spans="1:7" s="35" customFormat="1" x14ac:dyDescent="0.3">
      <c r="A6" s="26" t="s">
        <v>79</v>
      </c>
      <c r="B6" s="2">
        <f>Inversión!C7</f>
        <v>1500</v>
      </c>
      <c r="C6" s="464">
        <v>5</v>
      </c>
      <c r="D6" s="457">
        <f t="shared" ref="D6:D25" si="0">+B6/C6</f>
        <v>300</v>
      </c>
      <c r="E6" s="462">
        <f t="shared" ref="E6:E20" si="1">+D6/12</f>
        <v>25</v>
      </c>
      <c r="F6" s="454">
        <f t="shared" ref="F6:F25" si="2">1/C6</f>
        <v>0.2</v>
      </c>
      <c r="G6" s="456">
        <f t="shared" ref="G6:G23" si="3">B6-(D6*5)</f>
        <v>0</v>
      </c>
    </row>
    <row r="7" spans="1:7" s="35" customFormat="1" x14ac:dyDescent="0.3">
      <c r="A7" s="26" t="s">
        <v>167</v>
      </c>
      <c r="B7" s="2">
        <f>Inversión!C8</f>
        <v>150</v>
      </c>
      <c r="C7" s="464">
        <v>5</v>
      </c>
      <c r="D7" s="457">
        <f t="shared" si="0"/>
        <v>30</v>
      </c>
      <c r="E7" s="462">
        <f t="shared" si="1"/>
        <v>2.5</v>
      </c>
      <c r="F7" s="454">
        <f t="shared" si="2"/>
        <v>0.2</v>
      </c>
      <c r="G7" s="456">
        <f t="shared" si="3"/>
        <v>0</v>
      </c>
    </row>
    <row r="8" spans="1:7" s="35" customFormat="1" x14ac:dyDescent="0.3">
      <c r="A8" s="125" t="s">
        <v>82</v>
      </c>
      <c r="B8" s="2"/>
      <c r="C8" s="464"/>
      <c r="D8" s="457"/>
      <c r="E8" s="462"/>
      <c r="F8" s="454"/>
      <c r="G8" s="456">
        <f t="shared" si="3"/>
        <v>0</v>
      </c>
    </row>
    <row r="9" spans="1:7" s="35" customFormat="1" x14ac:dyDescent="0.3">
      <c r="A9" s="26" t="s">
        <v>84</v>
      </c>
      <c r="B9" s="2">
        <f>Inversión!C11</f>
        <v>40</v>
      </c>
      <c r="C9" s="464">
        <v>3</v>
      </c>
      <c r="D9" s="457">
        <f t="shared" si="0"/>
        <v>13.333333333333334</v>
      </c>
      <c r="E9" s="462">
        <f t="shared" si="1"/>
        <v>1.1111111111111112</v>
      </c>
      <c r="F9" s="454">
        <f t="shared" si="2"/>
        <v>0.33333333333333331</v>
      </c>
      <c r="G9" s="456">
        <f t="shared" si="3"/>
        <v>-26.666666666666671</v>
      </c>
    </row>
    <row r="10" spans="1:7" s="35" customFormat="1" x14ac:dyDescent="0.3">
      <c r="A10" s="26" t="s">
        <v>85</v>
      </c>
      <c r="B10" s="2">
        <f>Inversión!C12</f>
        <v>150</v>
      </c>
      <c r="C10" s="464">
        <v>5</v>
      </c>
      <c r="D10" s="457">
        <f t="shared" si="0"/>
        <v>30</v>
      </c>
      <c r="E10" s="462">
        <f t="shared" si="1"/>
        <v>2.5</v>
      </c>
      <c r="F10" s="454">
        <f t="shared" si="2"/>
        <v>0.2</v>
      </c>
      <c r="G10" s="456">
        <f t="shared" si="3"/>
        <v>0</v>
      </c>
    </row>
    <row r="11" spans="1:7" s="35" customFormat="1" x14ac:dyDescent="0.3">
      <c r="A11" s="26" t="s">
        <v>140</v>
      </c>
      <c r="B11" s="2">
        <f>Inversión!C13</f>
        <v>110</v>
      </c>
      <c r="C11" s="464">
        <v>3</v>
      </c>
      <c r="D11" s="457">
        <f t="shared" si="0"/>
        <v>36.666666666666664</v>
      </c>
      <c r="E11" s="462">
        <f t="shared" si="1"/>
        <v>3.0555555555555554</v>
      </c>
      <c r="F11" s="454">
        <f t="shared" si="2"/>
        <v>0.33333333333333331</v>
      </c>
      <c r="G11" s="456">
        <f t="shared" si="3"/>
        <v>-73.333333333333314</v>
      </c>
    </row>
    <row r="12" spans="1:7" s="35" customFormat="1" x14ac:dyDescent="0.3">
      <c r="A12" s="125" t="s">
        <v>153</v>
      </c>
      <c r="B12" s="2"/>
      <c r="C12" s="464"/>
      <c r="D12" s="457"/>
      <c r="E12" s="462"/>
      <c r="F12" s="454"/>
      <c r="G12" s="456"/>
    </row>
    <row r="13" spans="1:7" s="35" customFormat="1" x14ac:dyDescent="0.3">
      <c r="A13" s="392" t="s">
        <v>227</v>
      </c>
      <c r="B13" s="2">
        <f>Inversión!C15</f>
        <v>3650</v>
      </c>
      <c r="C13" s="464">
        <v>10</v>
      </c>
      <c r="D13" s="457">
        <f t="shared" si="0"/>
        <v>365</v>
      </c>
      <c r="E13" s="462">
        <f t="shared" si="1"/>
        <v>30.416666666666668</v>
      </c>
      <c r="F13" s="454">
        <f t="shared" si="2"/>
        <v>0.1</v>
      </c>
      <c r="G13" s="456">
        <f t="shared" si="3"/>
        <v>1825</v>
      </c>
    </row>
    <row r="14" spans="1:7" s="35" customFormat="1" x14ac:dyDescent="0.3">
      <c r="A14" s="26" t="s">
        <v>88</v>
      </c>
      <c r="B14" s="2">
        <f>Inversión!C16</f>
        <v>135</v>
      </c>
      <c r="C14" s="464">
        <v>5</v>
      </c>
      <c r="D14" s="457">
        <f t="shared" si="0"/>
        <v>27</v>
      </c>
      <c r="E14" s="462">
        <f t="shared" si="1"/>
        <v>2.25</v>
      </c>
      <c r="F14" s="454">
        <f t="shared" si="2"/>
        <v>0.2</v>
      </c>
      <c r="G14" s="456">
        <f t="shared" si="3"/>
        <v>0</v>
      </c>
    </row>
    <row r="15" spans="1:7" s="35" customFormat="1" x14ac:dyDescent="0.3">
      <c r="A15" s="26" t="s">
        <v>89</v>
      </c>
      <c r="B15" s="2">
        <f>Inversión!C17</f>
        <v>60</v>
      </c>
      <c r="C15" s="464">
        <v>5</v>
      </c>
      <c r="D15" s="457">
        <f t="shared" si="0"/>
        <v>12</v>
      </c>
      <c r="E15" s="462">
        <f t="shared" si="1"/>
        <v>1</v>
      </c>
      <c r="F15" s="454">
        <f t="shared" si="2"/>
        <v>0.2</v>
      </c>
      <c r="G15" s="456">
        <f t="shared" si="3"/>
        <v>0</v>
      </c>
    </row>
    <row r="16" spans="1:7" s="35" customFormat="1" x14ac:dyDescent="0.3">
      <c r="A16" s="392" t="s">
        <v>90</v>
      </c>
      <c r="B16" s="2">
        <f>Inversión!C18</f>
        <v>1200</v>
      </c>
      <c r="C16" s="464">
        <v>10</v>
      </c>
      <c r="D16" s="457">
        <f t="shared" si="0"/>
        <v>120</v>
      </c>
      <c r="E16" s="462">
        <f t="shared" si="1"/>
        <v>10</v>
      </c>
      <c r="F16" s="454">
        <f t="shared" si="2"/>
        <v>0.1</v>
      </c>
      <c r="G16" s="456">
        <f t="shared" si="3"/>
        <v>600</v>
      </c>
    </row>
    <row r="17" spans="1:7" s="35" customFormat="1" x14ac:dyDescent="0.3">
      <c r="A17" s="29" t="s">
        <v>91</v>
      </c>
      <c r="B17" s="2">
        <f>Inversión!C19</f>
        <v>200</v>
      </c>
      <c r="C17" s="464">
        <v>1</v>
      </c>
      <c r="D17" s="457">
        <f t="shared" si="0"/>
        <v>200</v>
      </c>
      <c r="E17" s="462">
        <f t="shared" si="1"/>
        <v>16.666666666666668</v>
      </c>
      <c r="F17" s="454">
        <f>1/C17</f>
        <v>1</v>
      </c>
      <c r="G17" s="456"/>
    </row>
    <row r="18" spans="1:7" s="35" customFormat="1" x14ac:dyDescent="0.3">
      <c r="A18" s="26" t="s">
        <v>92</v>
      </c>
      <c r="B18" s="2">
        <f>Inversión!C20</f>
        <v>500</v>
      </c>
      <c r="C18" s="464">
        <v>5</v>
      </c>
      <c r="D18" s="457">
        <f t="shared" si="0"/>
        <v>100</v>
      </c>
      <c r="E18" s="462">
        <f t="shared" si="1"/>
        <v>8.3333333333333339</v>
      </c>
      <c r="F18" s="454">
        <f t="shared" si="2"/>
        <v>0.2</v>
      </c>
      <c r="G18" s="456">
        <f t="shared" si="3"/>
        <v>0</v>
      </c>
    </row>
    <row r="19" spans="1:7" s="35" customFormat="1" x14ac:dyDescent="0.3">
      <c r="A19" s="392" t="s">
        <v>226</v>
      </c>
      <c r="B19" s="2">
        <f>Inversión!C21</f>
        <v>1500</v>
      </c>
      <c r="C19" s="464">
        <v>10</v>
      </c>
      <c r="D19" s="457">
        <f t="shared" si="0"/>
        <v>150</v>
      </c>
      <c r="E19" s="462">
        <f t="shared" si="1"/>
        <v>12.5</v>
      </c>
      <c r="F19" s="454">
        <f t="shared" si="2"/>
        <v>0.1</v>
      </c>
      <c r="G19" s="456">
        <f t="shared" si="3"/>
        <v>750</v>
      </c>
    </row>
    <row r="20" spans="1:7" s="35" customFormat="1" x14ac:dyDescent="0.3">
      <c r="A20" s="392" t="s">
        <v>87</v>
      </c>
      <c r="B20" s="2">
        <f>Inversión!C22</f>
        <v>350</v>
      </c>
      <c r="C20" s="464">
        <v>10</v>
      </c>
      <c r="D20" s="457">
        <f t="shared" si="0"/>
        <v>35</v>
      </c>
      <c r="E20" s="462">
        <f t="shared" si="1"/>
        <v>2.9166666666666665</v>
      </c>
      <c r="F20" s="454">
        <f t="shared" si="2"/>
        <v>0.1</v>
      </c>
      <c r="G20" s="456">
        <f t="shared" si="3"/>
        <v>175</v>
      </c>
    </row>
    <row r="21" spans="1:7" s="35" customFormat="1" x14ac:dyDescent="0.3">
      <c r="A21" s="125" t="s">
        <v>154</v>
      </c>
      <c r="B21" s="2"/>
      <c r="C21" s="464"/>
      <c r="D21" s="457"/>
      <c r="E21" s="462"/>
      <c r="F21" s="454"/>
      <c r="G21" s="456"/>
    </row>
    <row r="22" spans="1:7" s="35" customFormat="1" x14ac:dyDescent="0.3">
      <c r="A22" s="26" t="s">
        <v>156</v>
      </c>
      <c r="B22" s="2">
        <f>Inversión!E24</f>
        <v>1040</v>
      </c>
      <c r="C22" s="464">
        <v>5</v>
      </c>
      <c r="D22" s="457">
        <f t="shared" si="0"/>
        <v>208</v>
      </c>
      <c r="E22" s="463">
        <f t="shared" ref="E22:E25" si="4">+D22/12</f>
        <v>17.333333333333332</v>
      </c>
      <c r="F22" s="454">
        <f t="shared" si="2"/>
        <v>0.2</v>
      </c>
      <c r="G22" s="456">
        <f t="shared" si="3"/>
        <v>0</v>
      </c>
    </row>
    <row r="23" spans="1:7" s="35" customFormat="1" x14ac:dyDescent="0.3">
      <c r="A23" s="26" t="s">
        <v>157</v>
      </c>
      <c r="B23" s="2">
        <f>Inversión!E28</f>
        <v>4771</v>
      </c>
      <c r="C23" s="464">
        <v>5</v>
      </c>
      <c r="D23" s="457">
        <f t="shared" si="0"/>
        <v>954.2</v>
      </c>
      <c r="E23" s="463">
        <f t="shared" si="4"/>
        <v>79.516666666666666</v>
      </c>
      <c r="F23" s="454">
        <f t="shared" si="2"/>
        <v>0.2</v>
      </c>
      <c r="G23" s="456">
        <f t="shared" si="3"/>
        <v>0</v>
      </c>
    </row>
    <row r="24" spans="1:7" x14ac:dyDescent="0.3">
      <c r="A24" s="125" t="s">
        <v>155</v>
      </c>
      <c r="B24" s="2">
        <f>Inversión!E33</f>
        <v>7496.5</v>
      </c>
      <c r="C24" s="464">
        <v>3</v>
      </c>
      <c r="D24" s="457">
        <f t="shared" si="0"/>
        <v>2498.8333333333335</v>
      </c>
      <c r="E24" s="463">
        <f t="shared" si="4"/>
        <v>208.23611111111111</v>
      </c>
      <c r="F24" s="454">
        <f t="shared" si="2"/>
        <v>0.33333333333333331</v>
      </c>
      <c r="G24" s="456"/>
    </row>
    <row r="25" spans="1:7" x14ac:dyDescent="0.3">
      <c r="A25" s="125" t="s">
        <v>120</v>
      </c>
      <c r="B25" s="2">
        <f>Inversión!E52</f>
        <v>2290</v>
      </c>
      <c r="C25" s="464">
        <v>3</v>
      </c>
      <c r="D25" s="457">
        <f t="shared" si="0"/>
        <v>763.33333333333337</v>
      </c>
      <c r="E25" s="463">
        <f t="shared" si="4"/>
        <v>63.611111111111114</v>
      </c>
      <c r="F25" s="454">
        <f t="shared" si="2"/>
        <v>0.33333333333333331</v>
      </c>
      <c r="G25" s="456"/>
    </row>
    <row r="26" spans="1:7" x14ac:dyDescent="0.3">
      <c r="A26" s="512" t="s">
        <v>38</v>
      </c>
      <c r="B26" s="513"/>
      <c r="C26" s="514"/>
      <c r="D26" s="169">
        <f>SUM(D5:D25)</f>
        <v>15843.366666666669</v>
      </c>
      <c r="E26" s="461">
        <f>+SUM(E5:E25)</f>
        <v>1320.2805555555556</v>
      </c>
    </row>
  </sheetData>
  <mergeCells count="1">
    <mergeCell ref="A26:C2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6"/>
  <sheetViews>
    <sheetView showGridLines="0" workbookViewId="0">
      <selection activeCell="B8" sqref="B8"/>
    </sheetView>
  </sheetViews>
  <sheetFormatPr baseColWidth="10" defaultColWidth="11.44140625" defaultRowHeight="13.2" x14ac:dyDescent="0.25"/>
  <cols>
    <col min="1" max="1" width="20.6640625" style="1" customWidth="1"/>
    <col min="2" max="2" width="11.6640625" style="1" customWidth="1"/>
    <col min="3" max="3" width="11.88671875" style="1" customWidth="1"/>
    <col min="4" max="4" width="10.6640625" style="1" customWidth="1"/>
    <col min="5" max="9" width="10.33203125" style="1" customWidth="1"/>
    <col min="10" max="14" width="10" style="1" customWidth="1"/>
    <col min="15" max="16384" width="11.44140625" style="1"/>
  </cols>
  <sheetData>
    <row r="1" spans="1:14" ht="27" customHeight="1" x14ac:dyDescent="0.4">
      <c r="A1" s="105" t="s">
        <v>396</v>
      </c>
    </row>
    <row r="3" spans="1:14" ht="18" customHeight="1" x14ac:dyDescent="0.25">
      <c r="A3" s="507" t="s">
        <v>169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9"/>
    </row>
    <row r="4" spans="1:14" x14ac:dyDescent="0.25">
      <c r="A4" s="172"/>
      <c r="B4" s="173" t="s">
        <v>1</v>
      </c>
      <c r="C4" s="173" t="s">
        <v>2</v>
      </c>
      <c r="D4" s="173" t="s">
        <v>3</v>
      </c>
      <c r="E4" s="173" t="s">
        <v>4</v>
      </c>
      <c r="F4" s="173" t="s">
        <v>5</v>
      </c>
      <c r="G4" s="173" t="s">
        <v>6</v>
      </c>
      <c r="H4" s="173" t="s">
        <v>7</v>
      </c>
      <c r="I4" s="173" t="s">
        <v>8</v>
      </c>
      <c r="J4" s="173" t="s">
        <v>9</v>
      </c>
      <c r="K4" s="173" t="s">
        <v>10</v>
      </c>
      <c r="L4" s="173" t="s">
        <v>11</v>
      </c>
      <c r="M4" s="173" t="s">
        <v>12</v>
      </c>
      <c r="N4" s="174" t="s">
        <v>26</v>
      </c>
    </row>
    <row r="5" spans="1:14" ht="18" customHeight="1" x14ac:dyDescent="0.25">
      <c r="A5" s="80" t="s">
        <v>18</v>
      </c>
      <c r="B5" s="201">
        <f>SUM(ProyecciónDeVentas!B6+ProyecciónDeVentas!B10+ProyecciónDeVentas!B14)</f>
        <v>1325</v>
      </c>
      <c r="C5" s="201">
        <f>SUM(ProyecciónDeVentas!C6+ProyecciónDeVentas!C10+ProyecciónDeVentas!C14)</f>
        <v>1200</v>
      </c>
      <c r="D5" s="201">
        <f>SUM(ProyecciónDeVentas!D6+ProyecciónDeVentas!D10+ProyecciónDeVentas!D14)</f>
        <v>1325</v>
      </c>
      <c r="E5" s="201">
        <f>SUM(ProyecciónDeVentas!E6+ProyecciónDeVentas!E10+ProyecciónDeVentas!E14)</f>
        <v>1970</v>
      </c>
      <c r="F5" s="201">
        <f>SUM(ProyecciónDeVentas!F6+ProyecciónDeVentas!F10+ProyecciónDeVentas!F14)</f>
        <v>1975</v>
      </c>
      <c r="G5" s="201">
        <f>SUM(ProyecciónDeVentas!G6+ProyecciónDeVentas!G10+ProyecciónDeVentas!G14)</f>
        <v>1970</v>
      </c>
      <c r="H5" s="201">
        <f>SUM(ProyecciónDeVentas!H6+ProyecciónDeVentas!H10+ProyecciónDeVentas!H14)</f>
        <v>2045</v>
      </c>
      <c r="I5" s="201">
        <f>SUM(ProyecciónDeVentas!I6+ProyecciónDeVentas!I10+ProyecciónDeVentas!I14)</f>
        <v>1975</v>
      </c>
      <c r="J5" s="201">
        <f>SUM(ProyecciónDeVentas!J6+ProyecciónDeVentas!J10+ProyecciónDeVentas!J14)</f>
        <v>2680</v>
      </c>
      <c r="K5" s="201">
        <f>SUM(ProyecciónDeVentas!K6+ProyecciónDeVentas!K10+ProyecciónDeVentas!K14)</f>
        <v>2740</v>
      </c>
      <c r="L5" s="201">
        <f>SUM(ProyecciónDeVentas!L6+ProyecciónDeVentas!L10+ProyecciónDeVentas!L14)</f>
        <v>2640</v>
      </c>
      <c r="M5" s="201">
        <f>SUM(ProyecciónDeVentas!M6+ProyecciónDeVentas!M10+ProyecciónDeVentas!M14)</f>
        <v>2780</v>
      </c>
      <c r="N5" s="201">
        <f>SUM(B5:M5)</f>
        <v>24625</v>
      </c>
    </row>
    <row r="6" spans="1:14" ht="18.75" customHeight="1" x14ac:dyDescent="0.25">
      <c r="A6" s="79" t="s">
        <v>0</v>
      </c>
      <c r="B6" s="515" t="s">
        <v>19</v>
      </c>
      <c r="C6" s="516"/>
      <c r="D6" s="516"/>
      <c r="E6" s="516"/>
      <c r="F6" s="516"/>
      <c r="G6" s="516"/>
      <c r="H6" s="516"/>
      <c r="I6" s="516"/>
      <c r="J6" s="516"/>
      <c r="K6" s="516"/>
      <c r="L6" s="516"/>
      <c r="M6" s="516"/>
      <c r="N6" s="517"/>
    </row>
    <row r="7" spans="1:14" s="358" customFormat="1" ht="18.75" customHeight="1" x14ac:dyDescent="0.25">
      <c r="A7" s="348" t="s">
        <v>362</v>
      </c>
      <c r="B7" s="518" t="s">
        <v>27</v>
      </c>
      <c r="C7" s="519"/>
      <c r="D7" s="519"/>
      <c r="E7" s="519"/>
      <c r="F7" s="519"/>
      <c r="G7" s="519"/>
      <c r="H7" s="519"/>
      <c r="I7" s="519"/>
      <c r="J7" s="519"/>
      <c r="K7" s="519"/>
      <c r="L7" s="519"/>
      <c r="M7" s="519"/>
      <c r="N7" s="349" t="s">
        <v>188</v>
      </c>
    </row>
    <row r="8" spans="1:14" ht="28.5" customHeight="1" x14ac:dyDescent="0.25">
      <c r="A8" s="203" t="s">
        <v>253</v>
      </c>
      <c r="B8" s="302">
        <f>ProyecciónDeVentas!B69</f>
        <v>6768.5</v>
      </c>
      <c r="C8" s="302">
        <f>ProyecciónDeVentas!C69</f>
        <v>6120</v>
      </c>
      <c r="D8" s="302">
        <f>ProyecciónDeVentas!D69</f>
        <v>6768.5</v>
      </c>
      <c r="E8" s="303">
        <f>ProyecciónDeVentas!E69</f>
        <v>10025</v>
      </c>
      <c r="F8" s="303">
        <f>ProyecciónDeVentas!F69</f>
        <v>10259.5</v>
      </c>
      <c r="G8" s="303">
        <f>ProyecciónDeVentas!G69</f>
        <v>10025</v>
      </c>
      <c r="H8" s="303">
        <f>ProyecciónDeVentas!H69</f>
        <v>10374.5</v>
      </c>
      <c r="I8" s="303">
        <f>ProyecciónDeVentas!I69</f>
        <v>10259.5</v>
      </c>
      <c r="J8" s="304">
        <f>ProyecciónDeVentas!J69</f>
        <v>13756</v>
      </c>
      <c r="K8" s="304">
        <f>ProyecciónDeVentas!K69</f>
        <v>14194</v>
      </c>
      <c r="L8" s="304">
        <f>ProyecciónDeVentas!L69</f>
        <v>13728</v>
      </c>
      <c r="M8" s="304">
        <f>ProyecciónDeVentas!M69</f>
        <v>14222</v>
      </c>
      <c r="N8" s="202">
        <f>SUM(B8:M8)</f>
        <v>126500.5</v>
      </c>
    </row>
    <row r="9" spans="1:14" ht="28.5" customHeight="1" x14ac:dyDescent="0.25">
      <c r="A9" s="203" t="s">
        <v>254</v>
      </c>
      <c r="B9" s="302">
        <f>ProyecciónDeVentas!B41*50%</f>
        <v>6218.625</v>
      </c>
      <c r="C9" s="302">
        <f>ProyecciónDeVentas!C41*50%</f>
        <v>5617.5</v>
      </c>
      <c r="D9" s="302">
        <f>ProyecciónDeVentas!D41*50%</f>
        <v>6218.625</v>
      </c>
      <c r="E9" s="303">
        <f>ProyecciónDeVentas!E41*50%</f>
        <v>9190.125</v>
      </c>
      <c r="F9" s="303">
        <f>ProyecciónDeVentas!F41*50%</f>
        <v>9516.9375</v>
      </c>
      <c r="G9" s="303">
        <f>ProyecciónDeVentas!G41*50%</f>
        <v>9190.125</v>
      </c>
      <c r="H9" s="303">
        <f>ProyecciónDeVentas!H41*50%</f>
        <v>9493.3125</v>
      </c>
      <c r="I9" s="303">
        <f>ProyecciónDeVentas!I41*50%</f>
        <v>9516.9375</v>
      </c>
      <c r="J9" s="304">
        <f>ProyecciónDeVentas!J41*50%</f>
        <v>12673.5</v>
      </c>
      <c r="K9" s="304">
        <f>ProyecciónDeVentas!K41*50%</f>
        <v>13146</v>
      </c>
      <c r="L9" s="304">
        <f>ProyecciónDeVentas!L41*50%</f>
        <v>12741.75</v>
      </c>
      <c r="M9" s="304">
        <f>ProyecciónDeVentas!M41*50%</f>
        <v>13077.75</v>
      </c>
      <c r="N9" s="202">
        <f t="shared" ref="N9:N12" si="0">SUM(B9:M9)</f>
        <v>116601.1875</v>
      </c>
    </row>
    <row r="10" spans="1:14" ht="28.5" customHeight="1" x14ac:dyDescent="0.25">
      <c r="A10" s="203" t="s">
        <v>255</v>
      </c>
      <c r="B10" s="302">
        <f>ProyecciónDeVentas!B42*50%</f>
        <v>6840.4875000000002</v>
      </c>
      <c r="C10" s="302">
        <f>ProyecciónDeVentas!C42*50%</f>
        <v>6179.2500000000009</v>
      </c>
      <c r="D10" s="302">
        <f>ProyecciónDeVentas!D42*50%</f>
        <v>6840.4875000000002</v>
      </c>
      <c r="E10" s="303">
        <f>ProyecciónDeVentas!E42*50%</f>
        <v>10109.137500000001</v>
      </c>
      <c r="F10" s="303">
        <f>ProyecciónDeVentas!F42*50%</f>
        <v>10468.63125</v>
      </c>
      <c r="G10" s="303">
        <f>ProyecciónDeVentas!G42*50%</f>
        <v>10109.137500000001</v>
      </c>
      <c r="H10" s="303">
        <f>ProyecciónDeVentas!H42*50%</f>
        <v>10442.643750000001</v>
      </c>
      <c r="I10" s="303">
        <f>ProyecciónDeVentas!I42*50%</f>
        <v>10468.63125</v>
      </c>
      <c r="J10" s="304">
        <f>ProyecciónDeVentas!J42*50%</f>
        <v>13940.85</v>
      </c>
      <c r="K10" s="304">
        <f>ProyecciónDeVentas!K42*50%</f>
        <v>14460.6</v>
      </c>
      <c r="L10" s="304">
        <f>ProyecciónDeVentas!L42*50%</f>
        <v>14015.925000000001</v>
      </c>
      <c r="M10" s="304">
        <f>ProyecciónDeVentas!M42*50%</f>
        <v>14385.525000000001</v>
      </c>
      <c r="N10" s="202">
        <f t="shared" si="0"/>
        <v>128261.30625000002</v>
      </c>
    </row>
    <row r="11" spans="1:14" ht="28.5" customHeight="1" x14ac:dyDescent="0.25">
      <c r="A11" s="203" t="s">
        <v>256</v>
      </c>
      <c r="B11" s="302">
        <f>ProyecciónDeVentas!B43*50%</f>
        <v>7866.5606249999992</v>
      </c>
      <c r="C11" s="302">
        <f>ProyecciónDeVentas!C43*50%</f>
        <v>7106.1375000000007</v>
      </c>
      <c r="D11" s="302">
        <f>ProyecciónDeVentas!D43*50%</f>
        <v>7866.5606249999992</v>
      </c>
      <c r="E11" s="303">
        <f>ProyecciónDeVentas!E43*50%</f>
        <v>11625.508125</v>
      </c>
      <c r="F11" s="303">
        <f>ProyecciónDeVentas!F43*50%</f>
        <v>12038.9259375</v>
      </c>
      <c r="G11" s="303">
        <f>ProyecciónDeVentas!G43*50%</f>
        <v>11625.508125</v>
      </c>
      <c r="H11" s="303">
        <f>ProyecciónDeVentas!H43*50%</f>
        <v>12009.040312500001</v>
      </c>
      <c r="I11" s="303">
        <f>ProyecciónDeVentas!I43*50%</f>
        <v>12038.9259375</v>
      </c>
      <c r="J11" s="304">
        <f>ProyecciónDeVentas!J43*50%</f>
        <v>16031.977499999999</v>
      </c>
      <c r="K11" s="304">
        <f>ProyecciónDeVentas!K43*50%</f>
        <v>16629.689999999999</v>
      </c>
      <c r="L11" s="304">
        <f>ProyecciónDeVentas!L43*50%</f>
        <v>16118.313749999999</v>
      </c>
      <c r="M11" s="304">
        <f>ProyecciónDeVentas!M43*50%</f>
        <v>16543.353750000002</v>
      </c>
      <c r="N11" s="202">
        <f t="shared" si="0"/>
        <v>147500.50218749998</v>
      </c>
    </row>
    <row r="12" spans="1:14" ht="28.5" customHeight="1" x14ac:dyDescent="0.25">
      <c r="A12" s="203" t="s">
        <v>257</v>
      </c>
      <c r="B12" s="302">
        <f>ProyecciónDeVentas!B44*50%</f>
        <v>9439.8727499999986</v>
      </c>
      <c r="C12" s="302">
        <f>ProyecciónDeVentas!C44*50%</f>
        <v>8527.3649999999998</v>
      </c>
      <c r="D12" s="302">
        <f>ProyecciónDeVentas!D44*50%</f>
        <v>9439.8727499999986</v>
      </c>
      <c r="E12" s="303">
        <f>ProyecciónDeVentas!E44*50%</f>
        <v>13950.60975</v>
      </c>
      <c r="F12" s="303">
        <f>ProyecciónDeVentas!F44*50%</f>
        <v>14446.711125</v>
      </c>
      <c r="G12" s="303">
        <f>ProyecciónDeVentas!G44*50%</f>
        <v>13950.60975</v>
      </c>
      <c r="H12" s="303">
        <f>ProyecciónDeVentas!H44*50%</f>
        <v>14410.848375000001</v>
      </c>
      <c r="I12" s="303">
        <f>ProyecciónDeVentas!I44*50%</f>
        <v>14446.711125</v>
      </c>
      <c r="J12" s="304">
        <f>ProyecciónDeVentas!J44*50%</f>
        <v>19238.373</v>
      </c>
      <c r="K12" s="304">
        <f>ProyecciónDeVentas!K44*50%</f>
        <v>19955.627999999997</v>
      </c>
      <c r="L12" s="304">
        <f>ProyecciónDeVentas!L44*50%</f>
        <v>19341.976499999997</v>
      </c>
      <c r="M12" s="304">
        <f>ProyecciónDeVentas!M44*50%</f>
        <v>19852.024500000003</v>
      </c>
      <c r="N12" s="202">
        <f t="shared" si="0"/>
        <v>177000.602625</v>
      </c>
    </row>
    <row r="15" spans="1:14" ht="24" customHeight="1" x14ac:dyDescent="0.25">
      <c r="A15" s="79" t="s">
        <v>0</v>
      </c>
      <c r="B15" s="79" t="s">
        <v>253</v>
      </c>
      <c r="C15" s="79" t="s">
        <v>254</v>
      </c>
      <c r="D15" s="79" t="s">
        <v>255</v>
      </c>
      <c r="E15" s="79" t="s">
        <v>256</v>
      </c>
      <c r="F15" s="79" t="s">
        <v>257</v>
      </c>
    </row>
    <row r="16" spans="1:14" ht="30" customHeight="1" x14ac:dyDescent="0.25">
      <c r="A16" s="203" t="s">
        <v>336</v>
      </c>
      <c r="B16" s="297">
        <f>N8</f>
        <v>126500.5</v>
      </c>
      <c r="C16" s="297">
        <f>N9</f>
        <v>116601.1875</v>
      </c>
      <c r="D16" s="297">
        <f>N10</f>
        <v>128261.30625000002</v>
      </c>
      <c r="E16" s="297">
        <f>N11</f>
        <v>147500.50218749998</v>
      </c>
      <c r="F16" s="297">
        <f>N12</f>
        <v>177000.602625</v>
      </c>
    </row>
  </sheetData>
  <mergeCells count="3">
    <mergeCell ref="A3:N3"/>
    <mergeCell ref="B6:N6"/>
    <mergeCell ref="B7:M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3"/>
  <sheetViews>
    <sheetView showGridLines="0" zoomScale="130" zoomScaleNormal="130" workbookViewId="0">
      <selection activeCell="C14" sqref="C14:D14"/>
    </sheetView>
  </sheetViews>
  <sheetFormatPr baseColWidth="10" defaultColWidth="11.44140625" defaultRowHeight="13.2" x14ac:dyDescent="0.25"/>
  <cols>
    <col min="1" max="2" width="13" style="1" customWidth="1"/>
    <col min="3" max="3" width="19.88671875" style="1" customWidth="1"/>
    <col min="4" max="5" width="14.6640625" style="1" customWidth="1"/>
    <col min="6" max="6" width="6.109375" style="1" customWidth="1"/>
    <col min="7" max="7" width="23.88671875" style="1" customWidth="1"/>
    <col min="8" max="8" width="12.88671875" style="1" bestFit="1" customWidth="1"/>
    <col min="9" max="9" width="11.109375" style="1" customWidth="1"/>
    <col min="10" max="10" width="10.109375" style="1" customWidth="1"/>
    <col min="11" max="11" width="9" style="1" bestFit="1" customWidth="1"/>
    <col min="12" max="12" width="11.5546875" style="1" bestFit="1" customWidth="1"/>
    <col min="13" max="13" width="10" style="1" customWidth="1"/>
    <col min="14" max="14" width="12.33203125" style="1" customWidth="1"/>
    <col min="15" max="15" width="5.88671875" style="1" customWidth="1"/>
    <col min="16" max="16" width="16.6640625" style="1" customWidth="1"/>
    <col min="17" max="16384" width="11.44140625" style="1"/>
  </cols>
  <sheetData>
    <row r="1" spans="1:17" ht="25.5" customHeight="1" x14ac:dyDescent="0.4">
      <c r="A1" s="105" t="s">
        <v>179</v>
      </c>
    </row>
    <row r="2" spans="1:17" ht="24.75" customHeight="1" x14ac:dyDescent="0.25"/>
    <row r="3" spans="1:17" ht="22.5" customHeight="1" x14ac:dyDescent="0.25">
      <c r="A3" s="507" t="s">
        <v>25</v>
      </c>
      <c r="B3" s="508"/>
      <c r="C3" s="509"/>
      <c r="D3" s="524" t="s">
        <v>24</v>
      </c>
      <c r="E3" s="524"/>
      <c r="G3" s="57" t="s">
        <v>21</v>
      </c>
      <c r="H3" s="57" t="s">
        <v>183</v>
      </c>
      <c r="I3" s="57" t="s">
        <v>185</v>
      </c>
      <c r="J3" s="57" t="s">
        <v>184</v>
      </c>
      <c r="K3" s="57" t="s">
        <v>181</v>
      </c>
      <c r="L3" s="57" t="s">
        <v>187</v>
      </c>
      <c r="M3" s="57" t="s">
        <v>182</v>
      </c>
      <c r="N3" s="57" t="s">
        <v>26</v>
      </c>
      <c r="O3" s="56"/>
      <c r="P3" s="57" t="s">
        <v>182</v>
      </c>
      <c r="Q3" s="59">
        <v>0.09</v>
      </c>
    </row>
    <row r="4" spans="1:17" x14ac:dyDescent="0.25">
      <c r="A4" s="10" t="s">
        <v>180</v>
      </c>
      <c r="B4" s="10" t="s">
        <v>20</v>
      </c>
      <c r="C4" s="10" t="s">
        <v>21</v>
      </c>
      <c r="D4" s="10" t="s">
        <v>22</v>
      </c>
      <c r="E4" s="10" t="s">
        <v>23</v>
      </c>
      <c r="G4" s="58" t="str">
        <f t="shared" ref="G4:G7" si="0">C5</f>
        <v>Cocinero 1</v>
      </c>
      <c r="H4" s="12">
        <f>+D5</f>
        <v>1200</v>
      </c>
      <c r="I4" s="12">
        <f>H4*Q5</f>
        <v>120</v>
      </c>
      <c r="J4" s="12">
        <f>H4+I4</f>
        <v>1320</v>
      </c>
      <c r="K4" s="12">
        <f>H4*$Q$4</f>
        <v>156</v>
      </c>
      <c r="L4" s="63">
        <f>(H4+I4)-K4</f>
        <v>1164</v>
      </c>
      <c r="M4" s="12">
        <f>H4*$Q$3</f>
        <v>108</v>
      </c>
      <c r="N4" s="12">
        <f>J4+M4</f>
        <v>1428</v>
      </c>
      <c r="P4" s="57" t="s">
        <v>181</v>
      </c>
      <c r="Q4" s="59">
        <v>0.13</v>
      </c>
    </row>
    <row r="5" spans="1:17" x14ac:dyDescent="0.25">
      <c r="A5" s="448" t="s">
        <v>61</v>
      </c>
      <c r="B5" s="11">
        <v>1</v>
      </c>
      <c r="C5" s="11" t="s">
        <v>170</v>
      </c>
      <c r="D5" s="12">
        <v>1200</v>
      </c>
      <c r="E5" s="12">
        <f t="shared" ref="E5:E8" si="1">D5*12</f>
        <v>14400</v>
      </c>
      <c r="G5" s="58" t="str">
        <f t="shared" si="0"/>
        <v>Vajillero</v>
      </c>
      <c r="H5" s="12">
        <f t="shared" ref="H5:H7" si="2">+D6</f>
        <v>380</v>
      </c>
      <c r="I5" s="12"/>
      <c r="J5" s="12">
        <f t="shared" ref="J5:J7" si="3">H5+I5</f>
        <v>380</v>
      </c>
      <c r="K5" s="12">
        <f t="shared" ref="K5:K7" si="4">H5*$Q$4</f>
        <v>49.4</v>
      </c>
      <c r="L5" s="63">
        <f t="shared" ref="L5:L7" si="5">H5-K5</f>
        <v>330.6</v>
      </c>
      <c r="M5" s="12">
        <f t="shared" ref="M5:M7" si="6">H5*$Q$3</f>
        <v>34.199999999999996</v>
      </c>
      <c r="N5" s="12">
        <f>J5+M5</f>
        <v>414.2</v>
      </c>
      <c r="P5" s="57" t="s">
        <v>185</v>
      </c>
      <c r="Q5" s="59">
        <v>0.1</v>
      </c>
    </row>
    <row r="6" spans="1:17" x14ac:dyDescent="0.25">
      <c r="A6" s="449"/>
      <c r="B6" s="11">
        <v>1</v>
      </c>
      <c r="C6" s="11" t="s">
        <v>63</v>
      </c>
      <c r="D6" s="12">
        <v>380</v>
      </c>
      <c r="E6" s="12">
        <f t="shared" si="1"/>
        <v>4560</v>
      </c>
      <c r="G6" s="58" t="str">
        <f t="shared" si="0"/>
        <v>Mozo</v>
      </c>
      <c r="H6" s="12">
        <f t="shared" si="2"/>
        <v>750</v>
      </c>
      <c r="I6" s="12"/>
      <c r="J6" s="12">
        <f t="shared" si="3"/>
        <v>750</v>
      </c>
      <c r="K6" s="12">
        <f t="shared" si="4"/>
        <v>97.5</v>
      </c>
      <c r="L6" s="63">
        <f t="shared" si="5"/>
        <v>652.5</v>
      </c>
      <c r="M6" s="12">
        <f t="shared" si="6"/>
        <v>67.5</v>
      </c>
      <c r="N6" s="12">
        <f t="shared" ref="N6:N7" si="7">J6+M6</f>
        <v>817.5</v>
      </c>
    </row>
    <row r="7" spans="1:17" x14ac:dyDescent="0.25">
      <c r="A7" s="449"/>
      <c r="B7" s="11">
        <v>1</v>
      </c>
      <c r="C7" s="11" t="s">
        <v>64</v>
      </c>
      <c r="D7" s="12">
        <v>750</v>
      </c>
      <c r="E7" s="12">
        <f t="shared" si="1"/>
        <v>9000</v>
      </c>
      <c r="G7" s="58" t="str">
        <f t="shared" si="0"/>
        <v>Caja</v>
      </c>
      <c r="H7" s="12">
        <f t="shared" si="2"/>
        <v>750</v>
      </c>
      <c r="I7" s="12"/>
      <c r="J7" s="12">
        <f t="shared" si="3"/>
        <v>750</v>
      </c>
      <c r="K7" s="12">
        <f t="shared" si="4"/>
        <v>97.5</v>
      </c>
      <c r="L7" s="63">
        <f t="shared" si="5"/>
        <v>652.5</v>
      </c>
      <c r="M7" s="12">
        <f t="shared" si="6"/>
        <v>67.5</v>
      </c>
      <c r="N7" s="12">
        <f t="shared" si="7"/>
        <v>817.5</v>
      </c>
    </row>
    <row r="8" spans="1:17" x14ac:dyDescent="0.25">
      <c r="A8" s="74" t="s">
        <v>65</v>
      </c>
      <c r="B8" s="11">
        <v>1</v>
      </c>
      <c r="C8" s="11" t="s">
        <v>273</v>
      </c>
      <c r="D8" s="12">
        <v>750</v>
      </c>
      <c r="E8" s="12">
        <f t="shared" si="1"/>
        <v>9000</v>
      </c>
      <c r="G8" s="65" t="s">
        <v>186</v>
      </c>
      <c r="H8" s="61"/>
      <c r="I8" s="61"/>
      <c r="J8" s="61"/>
      <c r="K8" s="61"/>
      <c r="L8" s="61"/>
      <c r="M8" s="62"/>
      <c r="N8" s="64">
        <f>SUM(N4:N7)</f>
        <v>3477.2</v>
      </c>
    </row>
    <row r="9" spans="1:17" x14ac:dyDescent="0.25">
      <c r="A9" s="522" t="s">
        <v>26</v>
      </c>
      <c r="B9" s="523"/>
      <c r="C9" s="191">
        <f>+SUM(B5:B8)</f>
        <v>4</v>
      </c>
      <c r="D9" s="63">
        <f>+SUM(D5:D8)</f>
        <v>3080</v>
      </c>
      <c r="E9" s="63">
        <f>+SUM(E5:E8)</f>
        <v>36960</v>
      </c>
    </row>
    <row r="12" spans="1:17" x14ac:dyDescent="0.25">
      <c r="A12" s="507" t="s">
        <v>363</v>
      </c>
      <c r="B12" s="508"/>
      <c r="C12" s="509"/>
      <c r="D12" s="524" t="s">
        <v>24</v>
      </c>
      <c r="E12" s="524"/>
    </row>
    <row r="13" spans="1:17" x14ac:dyDescent="0.25">
      <c r="A13" s="10" t="s">
        <v>180</v>
      </c>
      <c r="B13" s="10" t="s">
        <v>20</v>
      </c>
      <c r="C13" s="10" t="s">
        <v>21</v>
      </c>
      <c r="D13" s="10" t="s">
        <v>22</v>
      </c>
      <c r="E13" s="10" t="s">
        <v>23</v>
      </c>
    </row>
    <row r="14" spans="1:17" x14ac:dyDescent="0.25">
      <c r="A14" s="520" t="s">
        <v>61</v>
      </c>
      <c r="B14" s="11">
        <v>1</v>
      </c>
      <c r="C14" s="11" t="str">
        <f>+C5</f>
        <v>Cocinero 1</v>
      </c>
      <c r="D14" s="11">
        <f>+D5</f>
        <v>1200</v>
      </c>
      <c r="E14" s="12">
        <f t="shared" ref="E14:E15" si="8">D14*12</f>
        <v>14400</v>
      </c>
    </row>
    <row r="15" spans="1:17" x14ac:dyDescent="0.25">
      <c r="A15" s="525"/>
      <c r="B15" s="11">
        <v>1</v>
      </c>
      <c r="C15" s="11" t="str">
        <f>+C7</f>
        <v>Mozo</v>
      </c>
      <c r="D15" s="11">
        <f>+D7</f>
        <v>750</v>
      </c>
      <c r="E15" s="12">
        <f t="shared" si="8"/>
        <v>9000</v>
      </c>
    </row>
    <row r="16" spans="1:17" x14ac:dyDescent="0.25">
      <c r="A16" s="522" t="s">
        <v>188</v>
      </c>
      <c r="B16" s="526"/>
      <c r="C16" s="523"/>
      <c r="D16" s="12">
        <f>D14+D15</f>
        <v>1950</v>
      </c>
      <c r="E16" s="12">
        <f>E14+E15</f>
        <v>23400</v>
      </c>
    </row>
    <row r="17" spans="1:5" ht="18" customHeight="1" x14ac:dyDescent="0.25"/>
    <row r="18" spans="1:5" x14ac:dyDescent="0.25">
      <c r="A18" s="507" t="s">
        <v>25</v>
      </c>
      <c r="B18" s="508"/>
      <c r="C18" s="509"/>
      <c r="D18" s="524" t="s">
        <v>24</v>
      </c>
      <c r="E18" s="524"/>
    </row>
    <row r="19" spans="1:5" x14ac:dyDescent="0.25">
      <c r="A19" s="10" t="s">
        <v>180</v>
      </c>
      <c r="B19" s="10" t="s">
        <v>20</v>
      </c>
      <c r="C19" s="10" t="s">
        <v>21</v>
      </c>
      <c r="D19" s="10" t="s">
        <v>22</v>
      </c>
      <c r="E19" s="10" t="s">
        <v>23</v>
      </c>
    </row>
    <row r="20" spans="1:5" x14ac:dyDescent="0.25">
      <c r="A20" s="520" t="s">
        <v>61</v>
      </c>
      <c r="B20" s="11">
        <v>1</v>
      </c>
      <c r="C20" s="11" t="str">
        <f>+C5</f>
        <v>Cocinero 1</v>
      </c>
      <c r="D20" s="11">
        <f>+D5</f>
        <v>1200</v>
      </c>
      <c r="E20" s="12">
        <f t="shared" ref="E20:E23" si="9">D20*12</f>
        <v>14400</v>
      </c>
    </row>
    <row r="21" spans="1:5" x14ac:dyDescent="0.25">
      <c r="A21" s="521"/>
      <c r="B21" s="11">
        <v>1</v>
      </c>
      <c r="C21" s="11" t="str">
        <f t="shared" ref="C21:D22" si="10">+C6</f>
        <v>Vajillero</v>
      </c>
      <c r="D21" s="11">
        <f t="shared" si="10"/>
        <v>380</v>
      </c>
      <c r="E21" s="12">
        <f t="shared" si="9"/>
        <v>4560</v>
      </c>
    </row>
    <row r="22" spans="1:5" x14ac:dyDescent="0.25">
      <c r="A22" s="521"/>
      <c r="B22" s="11">
        <v>1</v>
      </c>
      <c r="C22" s="11" t="str">
        <f t="shared" si="10"/>
        <v>Mozo</v>
      </c>
      <c r="D22" s="11">
        <f t="shared" si="10"/>
        <v>750</v>
      </c>
      <c r="E22" s="12">
        <f t="shared" si="9"/>
        <v>9000</v>
      </c>
    </row>
    <row r="23" spans="1:5" x14ac:dyDescent="0.25">
      <c r="A23" s="74" t="s">
        <v>65</v>
      </c>
      <c r="B23" s="11">
        <v>1</v>
      </c>
      <c r="C23" s="11" t="str">
        <f>+C8</f>
        <v>Caja</v>
      </c>
      <c r="D23" s="11">
        <f>+D8</f>
        <v>750</v>
      </c>
      <c r="E23" s="12">
        <f t="shared" si="9"/>
        <v>9000</v>
      </c>
    </row>
    <row r="24" spans="1:5" x14ac:dyDescent="0.25">
      <c r="A24" s="522" t="s">
        <v>26</v>
      </c>
      <c r="B24" s="523"/>
      <c r="C24" s="191">
        <f>+SUM(B20:B23)</f>
        <v>4</v>
      </c>
      <c r="D24" s="63">
        <f>+SUM(D20:D23)</f>
        <v>3080</v>
      </c>
      <c r="E24" s="63">
        <f>+SUM(E20:E23)</f>
        <v>36960</v>
      </c>
    </row>
    <row r="26" spans="1:5" x14ac:dyDescent="0.25">
      <c r="A26" s="507" t="s">
        <v>25</v>
      </c>
      <c r="B26" s="508"/>
      <c r="C26" s="509"/>
      <c r="D26" s="524" t="s">
        <v>24</v>
      </c>
      <c r="E26" s="524"/>
    </row>
    <row r="27" spans="1:5" x14ac:dyDescent="0.25">
      <c r="A27" s="10" t="s">
        <v>180</v>
      </c>
      <c r="B27" s="10" t="s">
        <v>20</v>
      </c>
      <c r="C27" s="10" t="s">
        <v>21</v>
      </c>
      <c r="D27" s="10" t="s">
        <v>22</v>
      </c>
      <c r="E27" s="10" t="s">
        <v>23</v>
      </c>
    </row>
    <row r="28" spans="1:5" x14ac:dyDescent="0.25">
      <c r="A28" s="520" t="s">
        <v>61</v>
      </c>
      <c r="B28" s="11">
        <v>1</v>
      </c>
      <c r="C28" s="11" t="s">
        <v>170</v>
      </c>
      <c r="D28" s="12">
        <v>1500</v>
      </c>
      <c r="E28" s="12">
        <f t="shared" ref="E28:E32" si="11">D28*12</f>
        <v>18000</v>
      </c>
    </row>
    <row r="29" spans="1:5" x14ac:dyDescent="0.25">
      <c r="A29" s="521"/>
      <c r="B29" s="11">
        <v>1</v>
      </c>
      <c r="C29" s="11" t="s">
        <v>62</v>
      </c>
      <c r="D29" s="12">
        <v>800</v>
      </c>
      <c r="E29" s="12">
        <f t="shared" si="11"/>
        <v>9600</v>
      </c>
    </row>
    <row r="30" spans="1:5" x14ac:dyDescent="0.25">
      <c r="A30" s="521"/>
      <c r="B30" s="11">
        <v>1</v>
      </c>
      <c r="C30" s="11" t="s">
        <v>63</v>
      </c>
      <c r="D30" s="12">
        <v>380</v>
      </c>
      <c r="E30" s="12">
        <f t="shared" si="11"/>
        <v>4560</v>
      </c>
    </row>
    <row r="31" spans="1:5" x14ac:dyDescent="0.25">
      <c r="A31" s="521"/>
      <c r="B31" s="11">
        <v>1</v>
      </c>
      <c r="C31" s="11" t="s">
        <v>64</v>
      </c>
      <c r="D31" s="12">
        <v>750</v>
      </c>
      <c r="E31" s="12">
        <f t="shared" si="11"/>
        <v>9000</v>
      </c>
    </row>
    <row r="32" spans="1:5" x14ac:dyDescent="0.25">
      <c r="A32" s="74" t="s">
        <v>65</v>
      </c>
      <c r="B32" s="11">
        <v>1</v>
      </c>
      <c r="C32" s="11" t="s">
        <v>171</v>
      </c>
      <c r="D32" s="12">
        <v>750</v>
      </c>
      <c r="E32" s="12">
        <f t="shared" si="11"/>
        <v>9000</v>
      </c>
    </row>
    <row r="33" spans="1:5" x14ac:dyDescent="0.25">
      <c r="A33" s="522" t="s">
        <v>26</v>
      </c>
      <c r="B33" s="523"/>
      <c r="C33" s="191">
        <f>+SUM(B28:B32)</f>
        <v>5</v>
      </c>
      <c r="D33" s="63">
        <f>+SUM(D28:D32)</f>
        <v>4180</v>
      </c>
      <c r="E33" s="63">
        <f>+SUM(E28:E32)</f>
        <v>50160</v>
      </c>
    </row>
  </sheetData>
  <mergeCells count="15">
    <mergeCell ref="A14:A15"/>
    <mergeCell ref="A16:C16"/>
    <mergeCell ref="A26:C26"/>
    <mergeCell ref="D26:E26"/>
    <mergeCell ref="D3:E3"/>
    <mergeCell ref="A9:B9"/>
    <mergeCell ref="A3:C3"/>
    <mergeCell ref="A12:C12"/>
    <mergeCell ref="D12:E12"/>
    <mergeCell ref="A28:A31"/>
    <mergeCell ref="A33:B33"/>
    <mergeCell ref="A18:C18"/>
    <mergeCell ref="D18:E18"/>
    <mergeCell ref="A20:A22"/>
    <mergeCell ref="A24:B24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H22"/>
  <sheetViews>
    <sheetView showGridLines="0" workbookViewId="0">
      <selection activeCell="B11" sqref="B11"/>
    </sheetView>
  </sheetViews>
  <sheetFormatPr baseColWidth="10" defaultColWidth="11.44140625" defaultRowHeight="13.2" x14ac:dyDescent="0.25"/>
  <cols>
    <col min="1" max="1" width="26.88671875" style="1" customWidth="1"/>
    <col min="2" max="2" width="16.88671875" style="1" customWidth="1"/>
    <col min="3" max="16384" width="11.44140625" style="1"/>
  </cols>
  <sheetData>
    <row r="1" spans="1:8" s="44" customFormat="1" ht="28.5" customHeight="1" x14ac:dyDescent="0.4">
      <c r="A1" s="105" t="s">
        <v>398</v>
      </c>
    </row>
    <row r="2" spans="1:8" ht="24" customHeight="1" x14ac:dyDescent="0.25"/>
    <row r="3" spans="1:8" ht="29.25" customHeight="1" x14ac:dyDescent="0.25">
      <c r="A3" s="13" t="s">
        <v>0</v>
      </c>
      <c r="B3" s="13" t="s">
        <v>329</v>
      </c>
      <c r="D3" s="298" t="s">
        <v>330</v>
      </c>
      <c r="E3" s="298" t="s">
        <v>331</v>
      </c>
      <c r="F3" s="298" t="s">
        <v>332</v>
      </c>
      <c r="G3" s="298" t="s">
        <v>333</v>
      </c>
      <c r="H3" s="298" t="s">
        <v>334</v>
      </c>
    </row>
    <row r="4" spans="1:8" ht="21.75" customHeight="1" x14ac:dyDescent="0.25">
      <c r="A4" s="14" t="s">
        <v>28</v>
      </c>
      <c r="B4" s="16">
        <v>150</v>
      </c>
      <c r="D4" s="299">
        <f>B4*12</f>
        <v>1800</v>
      </c>
      <c r="E4" s="299">
        <f>D4*$B$14</f>
        <v>1818</v>
      </c>
      <c r="F4" s="299">
        <f>E4*$B$14</f>
        <v>1836.18</v>
      </c>
      <c r="G4" s="299">
        <f>F4*$B$14</f>
        <v>1854.5418000000002</v>
      </c>
      <c r="H4" s="299">
        <f>G4*$B$14</f>
        <v>1873.0872180000001</v>
      </c>
    </row>
    <row r="5" spans="1:8" ht="21.75" customHeight="1" x14ac:dyDescent="0.25">
      <c r="A5" s="14" t="s">
        <v>30</v>
      </c>
      <c r="B5" s="16">
        <v>250</v>
      </c>
      <c r="D5" s="299">
        <f t="shared" ref="D5:D10" si="0">B5*12</f>
        <v>3000</v>
      </c>
      <c r="E5" s="299">
        <f t="shared" ref="E5:E10" si="1">D5*$B$14</f>
        <v>3030</v>
      </c>
      <c r="F5" s="299">
        <f t="shared" ref="F5:H10" si="2">E5*$B$14</f>
        <v>3060.3</v>
      </c>
      <c r="G5" s="299">
        <f t="shared" si="2"/>
        <v>3090.9030000000002</v>
      </c>
      <c r="H5" s="299">
        <f t="shared" si="2"/>
        <v>3121.8120300000005</v>
      </c>
    </row>
    <row r="6" spans="1:8" ht="21.75" customHeight="1" x14ac:dyDescent="0.25">
      <c r="A6" s="14" t="s">
        <v>68</v>
      </c>
      <c r="B6" s="16">
        <v>45</v>
      </c>
      <c r="D6" s="299">
        <f t="shared" si="0"/>
        <v>540</v>
      </c>
      <c r="E6" s="299">
        <f t="shared" si="1"/>
        <v>545.4</v>
      </c>
      <c r="F6" s="299">
        <f t="shared" si="2"/>
        <v>550.85399999999993</v>
      </c>
      <c r="G6" s="299">
        <f t="shared" si="2"/>
        <v>556.36253999999997</v>
      </c>
      <c r="H6" s="299">
        <f t="shared" si="2"/>
        <v>561.92616539999995</v>
      </c>
    </row>
    <row r="7" spans="1:8" ht="21.75" customHeight="1" x14ac:dyDescent="0.25">
      <c r="A7" s="192" t="s">
        <v>31</v>
      </c>
      <c r="B7" s="193">
        <v>1500</v>
      </c>
      <c r="D7" s="299">
        <f t="shared" si="0"/>
        <v>18000</v>
      </c>
      <c r="E7" s="299">
        <f t="shared" si="1"/>
        <v>18180</v>
      </c>
      <c r="F7" s="299">
        <f t="shared" si="2"/>
        <v>18361.8</v>
      </c>
      <c r="G7" s="299">
        <f t="shared" si="2"/>
        <v>18545.417999999998</v>
      </c>
      <c r="H7" s="299">
        <f t="shared" si="2"/>
        <v>18730.872179999998</v>
      </c>
    </row>
    <row r="8" spans="1:8" ht="21.75" customHeight="1" x14ac:dyDescent="0.25">
      <c r="A8" s="14" t="s">
        <v>66</v>
      </c>
      <c r="B8" s="16">
        <v>40</v>
      </c>
      <c r="D8" s="299">
        <f t="shared" si="0"/>
        <v>480</v>
      </c>
      <c r="E8" s="299">
        <f t="shared" si="1"/>
        <v>484.8</v>
      </c>
      <c r="F8" s="299">
        <f t="shared" si="2"/>
        <v>489.64800000000002</v>
      </c>
      <c r="G8" s="299">
        <f t="shared" si="2"/>
        <v>494.54448000000002</v>
      </c>
      <c r="H8" s="299">
        <f t="shared" si="2"/>
        <v>499.48992480000004</v>
      </c>
    </row>
    <row r="9" spans="1:8" ht="21.75" customHeight="1" x14ac:dyDescent="0.25">
      <c r="A9" s="14" t="s">
        <v>67</v>
      </c>
      <c r="B9" s="16">
        <v>55</v>
      </c>
      <c r="D9" s="299">
        <f t="shared" si="0"/>
        <v>660</v>
      </c>
      <c r="E9" s="299">
        <f t="shared" si="1"/>
        <v>666.6</v>
      </c>
      <c r="F9" s="299">
        <f t="shared" si="2"/>
        <v>673.26600000000008</v>
      </c>
      <c r="G9" s="299">
        <f t="shared" si="2"/>
        <v>679.99866000000009</v>
      </c>
      <c r="H9" s="299">
        <f t="shared" si="2"/>
        <v>686.7986466000001</v>
      </c>
    </row>
    <row r="10" spans="1:8" ht="21.75" customHeight="1" x14ac:dyDescent="0.25">
      <c r="A10" s="14" t="s">
        <v>265</v>
      </c>
      <c r="B10" s="16">
        <v>15</v>
      </c>
      <c r="D10" s="299">
        <f t="shared" si="0"/>
        <v>180</v>
      </c>
      <c r="E10" s="299">
        <f t="shared" si="1"/>
        <v>181.8</v>
      </c>
      <c r="F10" s="299">
        <f t="shared" si="2"/>
        <v>183.61800000000002</v>
      </c>
      <c r="G10" s="299">
        <f t="shared" si="2"/>
        <v>185.45418000000004</v>
      </c>
      <c r="H10" s="299">
        <f t="shared" si="2"/>
        <v>187.30872180000003</v>
      </c>
    </row>
    <row r="11" spans="1:8" ht="21.75" customHeight="1" x14ac:dyDescent="0.25">
      <c r="A11" s="17" t="s">
        <v>26</v>
      </c>
      <c r="B11" s="18">
        <f>+SUM(B4:B10)</f>
        <v>2055</v>
      </c>
      <c r="D11" s="300">
        <f>SUM(D4:D10)</f>
        <v>24660</v>
      </c>
      <c r="E11" s="300">
        <f t="shared" ref="E11:H11" si="3">SUM(E4:E10)</f>
        <v>24906.6</v>
      </c>
      <c r="F11" s="300">
        <f t="shared" si="3"/>
        <v>25155.665999999997</v>
      </c>
      <c r="G11" s="300">
        <f t="shared" si="3"/>
        <v>25407.222659999999</v>
      </c>
      <c r="H11" s="300">
        <f t="shared" si="3"/>
        <v>25661.294886600001</v>
      </c>
    </row>
    <row r="13" spans="1:8" s="51" customFormat="1" ht="18.75" customHeight="1" x14ac:dyDescent="0.25">
      <c r="A13" s="527" t="s">
        <v>335</v>
      </c>
      <c r="B13" s="301">
        <v>0.01</v>
      </c>
    </row>
    <row r="14" spans="1:8" s="69" customFormat="1" ht="18.75" customHeight="1" x14ac:dyDescent="0.25">
      <c r="A14" s="528"/>
      <c r="B14" s="279">
        <v>1.01</v>
      </c>
    </row>
    <row r="15" spans="1:8" s="69" customFormat="1" ht="18.75" customHeight="1" x14ac:dyDescent="0.25"/>
    <row r="16" spans="1:8" s="69" customFormat="1" ht="27.75" customHeight="1" x14ac:dyDescent="0.25">
      <c r="A16" s="68" t="s">
        <v>0</v>
      </c>
      <c r="B16" s="68" t="s">
        <v>29</v>
      </c>
    </row>
    <row r="17" spans="1:2" s="69" customFormat="1" ht="18.75" customHeight="1" x14ac:dyDescent="0.25">
      <c r="A17" s="283" t="s">
        <v>264</v>
      </c>
      <c r="B17" s="284">
        <v>70</v>
      </c>
    </row>
    <row r="18" spans="1:2" s="69" customFormat="1" ht="18.75" customHeight="1" x14ac:dyDescent="0.25">
      <c r="A18" s="283" t="s">
        <v>270</v>
      </c>
      <c r="B18" s="284">
        <v>50</v>
      </c>
    </row>
    <row r="19" spans="1:2" s="69" customFormat="1" ht="18.75" customHeight="1" x14ac:dyDescent="0.25">
      <c r="A19" s="283" t="s">
        <v>271</v>
      </c>
      <c r="B19" s="284">
        <v>30</v>
      </c>
    </row>
    <row r="20" spans="1:2" s="69" customFormat="1" ht="18.75" customHeight="1" x14ac:dyDescent="0.25">
      <c r="A20" s="283" t="s">
        <v>272</v>
      </c>
      <c r="B20" s="284">
        <v>200</v>
      </c>
    </row>
    <row r="21" spans="1:2" s="69" customFormat="1" ht="18.75" customHeight="1" x14ac:dyDescent="0.25">
      <c r="A21" s="283" t="s">
        <v>39</v>
      </c>
      <c r="B21" s="284">
        <v>100</v>
      </c>
    </row>
    <row r="22" spans="1:2" s="69" customFormat="1" ht="18.75" customHeight="1" x14ac:dyDescent="0.25">
      <c r="A22" s="285" t="s">
        <v>26</v>
      </c>
      <c r="B22" s="286">
        <f>SUM(B17:B21)</f>
        <v>450</v>
      </c>
    </row>
  </sheetData>
  <mergeCells count="1">
    <mergeCell ref="A13:A14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INDICE</vt:lpstr>
      <vt:lpstr>Inversión</vt:lpstr>
      <vt:lpstr>EsquemaFinanciero</vt:lpstr>
      <vt:lpstr>ProyecciónDeVentas</vt:lpstr>
      <vt:lpstr>PlanDeEgresos</vt:lpstr>
      <vt:lpstr>Depreciación</vt:lpstr>
      <vt:lpstr>Costo M. Prima</vt:lpstr>
      <vt:lpstr>CostosDePersonal</vt:lpstr>
      <vt:lpstr>Otros Costos</vt:lpstr>
      <vt:lpstr>PlanDeVentas y FlujoDeEfectivo</vt:lpstr>
      <vt:lpstr>RelaciónCosto-Beneficio</vt:lpstr>
      <vt:lpstr>EstadoDeResultados</vt:lpstr>
      <vt:lpstr>PuntoDeEquilibrio</vt:lpstr>
      <vt:lpstr>3D_Restaurant</vt:lpstr>
      <vt:lpstr>INDICE!Área_de_impresión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Bocanegra</dc:creator>
  <cp:lastModifiedBy>Corei5</cp:lastModifiedBy>
  <dcterms:created xsi:type="dcterms:W3CDTF">2010-11-13T17:07:02Z</dcterms:created>
  <dcterms:modified xsi:type="dcterms:W3CDTF">2017-02-03T16:09:17Z</dcterms:modified>
</cp:coreProperties>
</file>